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szkolawm-my.sharepoint.com/personal/btekielski_szkola_miedzyborow_pl/Documents/Turnieje siatkarskie/Turniej Kinder single 7.12.2024/"/>
    </mc:Choice>
  </mc:AlternateContent>
  <xr:revisionPtr revIDLastSave="0" documentId="8_{DCC884B2-C121-4A09-B1B9-4F9840ABA6CE}" xr6:coauthVersionLast="47" xr6:coauthVersionMax="47" xr10:uidLastSave="{00000000-0000-0000-0000-000000000000}"/>
  <bookViews>
    <workbookView xWindow="-24270" yWindow="2295" windowWidth="25125" windowHeight="11445" xr2:uid="{00000000-000D-0000-FFFF-FFFF00000000}"/>
  </bookViews>
  <sheets>
    <sheet name="Grupa A" sheetId="2" r:id="rId1"/>
    <sheet name="Grupa B" sheetId="4" r:id="rId2"/>
    <sheet name="Grupa C" sheetId="5" r:id="rId3"/>
    <sheet name="Grupa D" sheetId="6" r:id="rId4"/>
    <sheet name="Grupa E" sheetId="3" r:id="rId5"/>
    <sheet name="Grupa F" sheetId="7" r:id="rId6"/>
    <sheet name="Grupa G" sheetId="8" r:id="rId7"/>
    <sheet name="Grupa H" sheetId="9" r:id="rId8"/>
  </sheets>
  <definedNames>
    <definedName name="_xlnm._FilterDatabase" localSheetId="0" hidden="1">'Grupa A'!$A$16:$B$61</definedName>
    <definedName name="_xlnm._FilterDatabase" localSheetId="1" hidden="1">'Grupa B'!$A$16:$B$61</definedName>
    <definedName name="_xlnm._FilterDatabase" localSheetId="2" hidden="1">'Grupa C'!$A$16:$B$61</definedName>
    <definedName name="_xlnm._FilterDatabase" localSheetId="3" hidden="1">'Grupa D'!$A$16:$B$61</definedName>
    <definedName name="_xlnm._FilterDatabase" localSheetId="4" hidden="1">'Grupa E'!$A$17:$B$76</definedName>
    <definedName name="_xlnm._FilterDatabase" localSheetId="5" hidden="1">'Grupa F'!$A$17:$B$76</definedName>
    <definedName name="_xlnm._FilterDatabase" localSheetId="6" hidden="1">'Grupa G'!$A$17:$B$76</definedName>
    <definedName name="_xlnm._FilterDatabase" localSheetId="7" hidden="1">'Grupa H'!$A$16:$B$61</definedName>
    <definedName name="home" localSheetId="0">'Grupa A'!$A$17:$A$61</definedName>
    <definedName name="home" localSheetId="1">'Grupa B'!$A$17:$A$61</definedName>
    <definedName name="home" localSheetId="2">'Grupa C'!$A$17:$A$61</definedName>
    <definedName name="home" localSheetId="3">'Grupa D'!$A$17:$A$61</definedName>
    <definedName name="home" localSheetId="4">'Grupa E'!$A$18:$A$76</definedName>
    <definedName name="home" localSheetId="5">'Grupa F'!$A$18:$A$76</definedName>
    <definedName name="home" localSheetId="6">'Grupa G'!$A$18:$A$76</definedName>
    <definedName name="home" localSheetId="7">'Grupa H'!$A$17:$A$61</definedName>
    <definedName name="homescore" localSheetId="0">'Grupa A'!$C$17:$C$61</definedName>
    <definedName name="homescore" localSheetId="1">'Grupa B'!$C$17:$C$61</definedName>
    <definedName name="homescore" localSheetId="2">'Grupa C'!$C$17:$C$61</definedName>
    <definedName name="homescore" localSheetId="3">'Grupa D'!$C$17:$C$61</definedName>
    <definedName name="homescore" localSheetId="4">'Grupa E'!$C$18:$C$76</definedName>
    <definedName name="homescore" localSheetId="5">'Grupa F'!$C$18:$C$76</definedName>
    <definedName name="homescore" localSheetId="6">'Grupa G'!$C$18:$C$76</definedName>
    <definedName name="homescore" localSheetId="7">'Grupa H'!$C$17:$C$61</definedName>
    <definedName name="visitor" localSheetId="0">'Grupa A'!$B$17:$B$61</definedName>
    <definedName name="visitor" localSheetId="1">'Grupa B'!$B$17:$B$61</definedName>
    <definedName name="visitor" localSheetId="2">'Grupa C'!$B$17:$B$61</definedName>
    <definedName name="visitor" localSheetId="3">'Grupa D'!$B$17:$B$61</definedName>
    <definedName name="visitor" localSheetId="4">'Grupa E'!$B$18:$B$76</definedName>
    <definedName name="visitor" localSheetId="5">'Grupa F'!$B$18:$B$76</definedName>
    <definedName name="visitor" localSheetId="6">'Grupa G'!$B$18:$B$76</definedName>
    <definedName name="visitor" localSheetId="7">'Grupa H'!$B$17:$B$61</definedName>
    <definedName name="visitorscore" localSheetId="0">'Grupa A'!$E$17:$E$61</definedName>
    <definedName name="visitorscore" localSheetId="1">'Grupa B'!$E$17:$E$61</definedName>
    <definedName name="visitorscore" localSheetId="2">'Grupa C'!$E$17:$E$61</definedName>
    <definedName name="visitorscore" localSheetId="3">'Grupa D'!$E$17:$E$61</definedName>
    <definedName name="visitorscore" localSheetId="4">'Grupa E'!$E$18:$E$76</definedName>
    <definedName name="visitorscore" localSheetId="5">'Grupa F'!$E$18:$E$76</definedName>
    <definedName name="visitorscore" localSheetId="6">'Grupa G'!$E$18:$E$76</definedName>
    <definedName name="visitorscore" localSheetId="7">'Grupa H'!$E$17:$E$61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9" l="1"/>
  <c r="A61" i="9"/>
  <c r="B60" i="9"/>
  <c r="A60" i="9"/>
  <c r="B59" i="9"/>
  <c r="A59" i="9"/>
  <c r="B58" i="9"/>
  <c r="A58" i="9"/>
  <c r="B57" i="9"/>
  <c r="A57" i="9"/>
  <c r="B56" i="9"/>
  <c r="A56" i="9"/>
  <c r="B55" i="9"/>
  <c r="A55" i="9"/>
  <c r="B54" i="9"/>
  <c r="A54" i="9"/>
  <c r="B53" i="9"/>
  <c r="A53" i="9"/>
  <c r="B52" i="9"/>
  <c r="A52" i="9"/>
  <c r="B51" i="9"/>
  <c r="A51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S12" i="9"/>
  <c r="S11" i="9"/>
  <c r="V11" i="9" s="1" a="1"/>
  <c r="S10" i="9"/>
  <c r="S9" i="9"/>
  <c r="S8" i="9"/>
  <c r="S7" i="9"/>
  <c r="S6" i="9"/>
  <c r="S5" i="9"/>
  <c r="S4" i="9"/>
  <c r="S3" i="9"/>
  <c r="T1" i="9"/>
  <c r="B76" i="8"/>
  <c r="A76" i="8"/>
  <c r="B75" i="8"/>
  <c r="A75" i="8"/>
  <c r="B74" i="8"/>
  <c r="A74" i="8"/>
  <c r="B73" i="8"/>
  <c r="A73" i="8"/>
  <c r="B72" i="8"/>
  <c r="A72" i="8"/>
  <c r="B71" i="8"/>
  <c r="A71" i="8"/>
  <c r="B70" i="8"/>
  <c r="A70" i="8"/>
  <c r="B69" i="8"/>
  <c r="A69" i="8"/>
  <c r="B68" i="8"/>
  <c r="A68" i="8"/>
  <c r="B67" i="8"/>
  <c r="A67" i="8"/>
  <c r="B66" i="8"/>
  <c r="A66" i="8"/>
  <c r="B65" i="8"/>
  <c r="A65" i="8"/>
  <c r="B64" i="8"/>
  <c r="A64" i="8"/>
  <c r="B63" i="8"/>
  <c r="A63" i="8"/>
  <c r="B62" i="8"/>
  <c r="A62" i="8"/>
  <c r="B61" i="8"/>
  <c r="A61" i="8"/>
  <c r="B60" i="8"/>
  <c r="A60" i="8"/>
  <c r="B59" i="8"/>
  <c r="A59" i="8"/>
  <c r="B58" i="8"/>
  <c r="A58" i="8"/>
  <c r="B57" i="8"/>
  <c r="A57" i="8"/>
  <c r="B56" i="8"/>
  <c r="A56" i="8"/>
  <c r="B55" i="8"/>
  <c r="A55" i="8"/>
  <c r="B54" i="8"/>
  <c r="A54" i="8"/>
  <c r="B53" i="8"/>
  <c r="A53" i="8"/>
  <c r="B52" i="8"/>
  <c r="A52" i="8"/>
  <c r="B51" i="8"/>
  <c r="A51" i="8"/>
  <c r="B50" i="8"/>
  <c r="A50" i="8"/>
  <c r="B49" i="8"/>
  <c r="A49" i="8"/>
  <c r="B48" i="8"/>
  <c r="A48" i="8"/>
  <c r="B47" i="8"/>
  <c r="A47" i="8"/>
  <c r="B46" i="8"/>
  <c r="A46" i="8"/>
  <c r="B45" i="8"/>
  <c r="A45" i="8"/>
  <c r="B44" i="8"/>
  <c r="A44" i="8"/>
  <c r="B43" i="8"/>
  <c r="A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S13" i="8"/>
  <c r="S12" i="8"/>
  <c r="S11" i="8"/>
  <c r="S10" i="8"/>
  <c r="S9" i="8"/>
  <c r="S8" i="8"/>
  <c r="S7" i="8"/>
  <c r="S6" i="8"/>
  <c r="T6" i="8" s="1" a="1"/>
  <c r="S5" i="8"/>
  <c r="S4" i="8"/>
  <c r="S3" i="8"/>
  <c r="T1" i="8"/>
  <c r="B76" i="7"/>
  <c r="A76" i="7"/>
  <c r="B75" i="7"/>
  <c r="A75" i="7"/>
  <c r="B74" i="7"/>
  <c r="A74" i="7"/>
  <c r="B73" i="7"/>
  <c r="A73" i="7"/>
  <c r="B72" i="7"/>
  <c r="A72" i="7"/>
  <c r="B71" i="7"/>
  <c r="A71" i="7"/>
  <c r="B70" i="7"/>
  <c r="A70" i="7"/>
  <c r="B69" i="7"/>
  <c r="A69" i="7"/>
  <c r="B68" i="7"/>
  <c r="A68" i="7"/>
  <c r="B67" i="7"/>
  <c r="A67" i="7"/>
  <c r="B66" i="7"/>
  <c r="A66" i="7"/>
  <c r="B65" i="7"/>
  <c r="A65" i="7"/>
  <c r="B64" i="7"/>
  <c r="A64" i="7"/>
  <c r="B63" i="7"/>
  <c r="A63" i="7"/>
  <c r="B62" i="7"/>
  <c r="A62" i="7"/>
  <c r="B61" i="7"/>
  <c r="A61" i="7"/>
  <c r="B60" i="7"/>
  <c r="A60" i="7"/>
  <c r="B59" i="7"/>
  <c r="A59" i="7"/>
  <c r="B58" i="7"/>
  <c r="A58" i="7"/>
  <c r="B57" i="7"/>
  <c r="A57" i="7"/>
  <c r="B56" i="7"/>
  <c r="A56" i="7"/>
  <c r="B55" i="7"/>
  <c r="A55" i="7"/>
  <c r="B54" i="7"/>
  <c r="A54" i="7"/>
  <c r="B53" i="7"/>
  <c r="A53" i="7"/>
  <c r="B52" i="7"/>
  <c r="A52" i="7"/>
  <c r="B51" i="7"/>
  <c r="A51" i="7"/>
  <c r="B50" i="7"/>
  <c r="A50" i="7"/>
  <c r="B49" i="7"/>
  <c r="A49" i="7"/>
  <c r="B48" i="7"/>
  <c r="A48" i="7"/>
  <c r="B47" i="7"/>
  <c r="A47" i="7"/>
  <c r="B46" i="7"/>
  <c r="A46" i="7"/>
  <c r="B45" i="7"/>
  <c r="A45" i="7"/>
  <c r="B44" i="7"/>
  <c r="A44" i="7"/>
  <c r="B43" i="7"/>
  <c r="A43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S13" i="7"/>
  <c r="S12" i="7"/>
  <c r="V12" i="7" s="1" a="1"/>
  <c r="S11" i="7"/>
  <c r="S10" i="7"/>
  <c r="S9" i="7"/>
  <c r="S8" i="7"/>
  <c r="V8" i="7" s="1" a="1"/>
  <c r="S7" i="7"/>
  <c r="S6" i="7"/>
  <c r="S5" i="7"/>
  <c r="S4" i="7"/>
  <c r="S3" i="7"/>
  <c r="T1" i="7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S12" i="6"/>
  <c r="W12" i="6" s="1"/>
  <c r="S11" i="6"/>
  <c r="S10" i="6"/>
  <c r="S9" i="6"/>
  <c r="S8" i="6"/>
  <c r="S7" i="6"/>
  <c r="S6" i="6"/>
  <c r="S5" i="6"/>
  <c r="S4" i="6"/>
  <c r="S3" i="6"/>
  <c r="T1" i="6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S12" i="5"/>
  <c r="S11" i="5"/>
  <c r="S10" i="5"/>
  <c r="S9" i="5"/>
  <c r="S8" i="5"/>
  <c r="S7" i="5"/>
  <c r="S6" i="5"/>
  <c r="T6" i="5" s="1" a="1"/>
  <c r="S5" i="5"/>
  <c r="S4" i="5"/>
  <c r="S3" i="5"/>
  <c r="T1" i="5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S12" i="4"/>
  <c r="S11" i="4"/>
  <c r="V11" i="4" s="1" a="1"/>
  <c r="S10" i="4"/>
  <c r="S9" i="4"/>
  <c r="S8" i="4"/>
  <c r="S7" i="4"/>
  <c r="V7" i="4" s="1" a="1"/>
  <c r="S6" i="4"/>
  <c r="S5" i="4"/>
  <c r="S4" i="4"/>
  <c r="S3" i="4"/>
  <c r="V3" i="4" s="1" a="1"/>
  <c r="T1" i="4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S13" i="3"/>
  <c r="S12" i="3"/>
  <c r="U12" i="3" s="1" a="1"/>
  <c r="S11" i="3"/>
  <c r="S10" i="3"/>
  <c r="S9" i="3"/>
  <c r="S8" i="3"/>
  <c r="V8" i="3" s="1" a="1"/>
  <c r="S7" i="3"/>
  <c r="S6" i="3"/>
  <c r="T6" i="3" s="1" a="1"/>
  <c r="S5" i="3"/>
  <c r="S4" i="3"/>
  <c r="S3" i="3"/>
  <c r="T1" i="3"/>
  <c r="V3" i="3" l="1" a="1"/>
  <c r="T3" i="3" a="1"/>
  <c r="V10" i="3" a="1"/>
  <c r="T10" i="3" a="1"/>
  <c r="V11" i="3" a="1"/>
  <c r="V4" i="4" a="1"/>
  <c r="U4" i="4" a="1"/>
  <c r="T4" i="4" a="1"/>
  <c r="V6" i="4" a="1"/>
  <c r="U6" i="4" a="1"/>
  <c r="T6" i="4" a="1"/>
  <c r="V8" i="4" a="1"/>
  <c r="U8" i="4" a="1"/>
  <c r="T8" i="4" a="1"/>
  <c r="V10" i="4" a="1"/>
  <c r="U10" i="4" a="1"/>
  <c r="T10" i="4" a="1"/>
  <c r="U12" i="4" a="1"/>
  <c r="T12" i="4" a="1"/>
  <c r="W12" i="4"/>
  <c r="V12" i="4" a="1"/>
  <c r="W8" i="4"/>
  <c r="V3" i="5" a="1"/>
  <c r="U3" i="5" a="1"/>
  <c r="V4" i="5" a="1"/>
  <c r="U4" i="5" a="1"/>
  <c r="V7" i="5" a="1"/>
  <c r="V7" i="5" s="1"/>
  <c r="U7" i="5" a="1"/>
  <c r="V9" i="5" a="1"/>
  <c r="T9" i="5" a="1"/>
  <c r="V11" i="5" a="1"/>
  <c r="U11" i="5" a="1"/>
  <c r="V10" i="5" a="1"/>
  <c r="V3" i="6" a="1"/>
  <c r="U3" i="6" a="1"/>
  <c r="V5" i="6" a="1"/>
  <c r="T5" i="6" a="1"/>
  <c r="V7" i="6" a="1"/>
  <c r="U7" i="6" a="1"/>
  <c r="V9" i="6" a="1"/>
  <c r="T9" i="6" a="1"/>
  <c r="V11" i="6" a="1"/>
  <c r="U11" i="6" a="1"/>
  <c r="V10" i="6" a="1"/>
  <c r="V3" i="7" a="1"/>
  <c r="U3" i="7" a="1"/>
  <c r="T3" i="7" a="1"/>
  <c r="V5" i="7" a="1"/>
  <c r="U5" i="7" a="1"/>
  <c r="T5" i="7" a="1"/>
  <c r="V7" i="7" a="1"/>
  <c r="U7" i="7" a="1"/>
  <c r="T7" i="7" a="1"/>
  <c r="V9" i="7" a="1"/>
  <c r="U9" i="7" a="1"/>
  <c r="T9" i="7" a="1"/>
  <c r="V11" i="7" a="1"/>
  <c r="U11" i="7" a="1"/>
  <c r="T11" i="7" a="1"/>
  <c r="V13" i="7" a="1"/>
  <c r="U13" i="7" a="1"/>
  <c r="T13" i="7" a="1"/>
  <c r="T13" i="7" s="1"/>
  <c r="U12" i="8" a="1"/>
  <c r="V10" i="8" a="1"/>
  <c r="V3" i="9" a="1"/>
  <c r="U3" i="9" a="1"/>
  <c r="V5" i="9" a="1"/>
  <c r="T5" i="9" a="1"/>
  <c r="V7" i="9" a="1"/>
  <c r="U7" i="9" a="1"/>
  <c r="V9" i="9" a="1"/>
  <c r="T9" i="9" a="1"/>
  <c r="V10" i="9" a="1"/>
  <c r="V10" i="9" s="1"/>
  <c r="W11" i="9"/>
  <c r="W3" i="9"/>
  <c r="X5" i="9"/>
  <c r="X6" i="9"/>
  <c r="W7" i="9"/>
  <c r="X9" i="9"/>
  <c r="X10" i="9"/>
  <c r="V3" i="9"/>
  <c r="W4" i="9"/>
  <c r="T5" i="9"/>
  <c r="T9" i="9"/>
  <c r="W12" i="9"/>
  <c r="V5" i="9"/>
  <c r="V7" i="9"/>
  <c r="W8" i="9"/>
  <c r="V9" i="9"/>
  <c r="V11" i="9"/>
  <c r="U3" i="9"/>
  <c r="AA3" i="9" s="1"/>
  <c r="U7" i="9"/>
  <c r="AA7" i="9" s="1"/>
  <c r="X13" i="8"/>
  <c r="W4" i="8"/>
  <c r="X9" i="8"/>
  <c r="U12" i="8"/>
  <c r="AA12" i="8" s="1"/>
  <c r="X3" i="8"/>
  <c r="T6" i="8"/>
  <c r="V10" i="8"/>
  <c r="W8" i="8"/>
  <c r="W11" i="7"/>
  <c r="U5" i="7"/>
  <c r="AA5" i="7" s="1"/>
  <c r="T11" i="7"/>
  <c r="U3" i="7"/>
  <c r="AA3" i="7" s="1"/>
  <c r="T9" i="7"/>
  <c r="T7" i="7"/>
  <c r="V3" i="7"/>
  <c r="U7" i="7"/>
  <c r="AA7" i="7" s="1"/>
  <c r="V8" i="7"/>
  <c r="U9" i="7"/>
  <c r="AA9" i="7" s="1"/>
  <c r="W10" i="7"/>
  <c r="U11" i="7"/>
  <c r="AA11" i="7" s="1"/>
  <c r="V12" i="7"/>
  <c r="U13" i="7"/>
  <c r="AA13" i="7" s="1"/>
  <c r="V5" i="7"/>
  <c r="X3" i="7"/>
  <c r="W3" i="7"/>
  <c r="X5" i="7"/>
  <c r="W5" i="7"/>
  <c r="Y5" i="7" s="1"/>
  <c r="V7" i="7"/>
  <c r="V9" i="7"/>
  <c r="V11" i="7"/>
  <c r="V13" i="7"/>
  <c r="X6" i="7"/>
  <c r="T3" i="7"/>
  <c r="T5" i="7"/>
  <c r="X7" i="7"/>
  <c r="W7" i="7"/>
  <c r="X9" i="7"/>
  <c r="W9" i="7"/>
  <c r="X11" i="7"/>
  <c r="Z11" i="7" s="1"/>
  <c r="W13" i="7"/>
  <c r="T10" i="3"/>
  <c r="W4" i="3"/>
  <c r="X6" i="3"/>
  <c r="X9" i="3"/>
  <c r="V10" i="3"/>
  <c r="V3" i="3"/>
  <c r="V8" i="3"/>
  <c r="U12" i="3"/>
  <c r="AA12" i="3" s="1"/>
  <c r="T3" i="3"/>
  <c r="T6" i="3"/>
  <c r="V11" i="3"/>
  <c r="T5" i="6"/>
  <c r="V9" i="6"/>
  <c r="V11" i="6"/>
  <c r="W8" i="6"/>
  <c r="W4" i="6"/>
  <c r="V5" i="6"/>
  <c r="V7" i="6"/>
  <c r="V3" i="6"/>
  <c r="W11" i="6"/>
  <c r="U3" i="6"/>
  <c r="AA3" i="6" s="1"/>
  <c r="U7" i="6"/>
  <c r="AA7" i="6" s="1"/>
  <c r="U11" i="6"/>
  <c r="AA11" i="6" s="1"/>
  <c r="W3" i="6"/>
  <c r="X5" i="6"/>
  <c r="X6" i="6"/>
  <c r="W7" i="6"/>
  <c r="X9" i="6"/>
  <c r="X10" i="6"/>
  <c r="T9" i="6"/>
  <c r="V10" i="6"/>
  <c r="U4" i="5"/>
  <c r="AA4" i="5" s="1"/>
  <c r="V3" i="5"/>
  <c r="X6" i="5"/>
  <c r="U7" i="5"/>
  <c r="AA7" i="5" s="1"/>
  <c r="V10" i="5"/>
  <c r="W4" i="5"/>
  <c r="T9" i="5"/>
  <c r="V4" i="5"/>
  <c r="X5" i="5"/>
  <c r="W8" i="5"/>
  <c r="V9" i="5"/>
  <c r="W11" i="5"/>
  <c r="W3" i="5"/>
  <c r="T6" i="5"/>
  <c r="W7" i="5"/>
  <c r="X9" i="5"/>
  <c r="X10" i="5"/>
  <c r="V11" i="5"/>
  <c r="W12" i="5"/>
  <c r="U3" i="5"/>
  <c r="AA3" i="5" s="1"/>
  <c r="U11" i="5"/>
  <c r="AA11" i="5" s="1"/>
  <c r="X4" i="4"/>
  <c r="W4" i="4"/>
  <c r="W6" i="4"/>
  <c r="X8" i="4"/>
  <c r="Z8" i="4" s="1"/>
  <c r="X10" i="4"/>
  <c r="X12" i="4"/>
  <c r="Z12" i="4" s="1"/>
  <c r="X6" i="4"/>
  <c r="Z6" i="4" s="1"/>
  <c r="W10" i="4"/>
  <c r="Y10" i="4" s="1"/>
  <c r="T4" i="4"/>
  <c r="T6" i="4"/>
  <c r="T8" i="4"/>
  <c r="T10" i="4"/>
  <c r="T12" i="4"/>
  <c r="V12" i="4"/>
  <c r="U4" i="4"/>
  <c r="AA4" i="4" s="1"/>
  <c r="X5" i="4"/>
  <c r="V7" i="4"/>
  <c r="U8" i="4"/>
  <c r="AA8" i="4" s="1"/>
  <c r="X9" i="4"/>
  <c r="U10" i="4"/>
  <c r="AA10" i="4" s="1"/>
  <c r="V11" i="4"/>
  <c r="U12" i="4"/>
  <c r="AA12" i="4" s="1"/>
  <c r="V3" i="4"/>
  <c r="U6" i="4"/>
  <c r="AA6" i="4" s="1"/>
  <c r="V4" i="4"/>
  <c r="V6" i="4"/>
  <c r="V8" i="4"/>
  <c r="V10" i="4"/>
  <c r="X4" i="9"/>
  <c r="Z4" i="9" s="1"/>
  <c r="X8" i="9"/>
  <c r="Z8" i="9" s="1"/>
  <c r="X3" i="9"/>
  <c r="Z3" i="9" s="1"/>
  <c r="T4" i="9" a="1"/>
  <c r="T4" i="9" s="1"/>
  <c r="V4" i="9" a="1"/>
  <c r="V4" i="9" s="1"/>
  <c r="U6" i="9" a="1"/>
  <c r="U6" i="9" s="1"/>
  <c r="AA6" i="9" s="1"/>
  <c r="W6" i="9"/>
  <c r="X7" i="9"/>
  <c r="Z7" i="9" s="1"/>
  <c r="T8" i="9" a="1"/>
  <c r="T8" i="9" s="1"/>
  <c r="V8" i="9" a="1"/>
  <c r="V8" i="9" s="1"/>
  <c r="U10" i="9" a="1"/>
  <c r="U10" i="9" s="1"/>
  <c r="AA10" i="9" s="1"/>
  <c r="W10" i="9"/>
  <c r="X11" i="9"/>
  <c r="Z11" i="9" s="1"/>
  <c r="T12" i="9" a="1"/>
  <c r="T12" i="9" s="1"/>
  <c r="V12" i="9" a="1"/>
  <c r="V12" i="9" s="1"/>
  <c r="U11" i="9" a="1"/>
  <c r="U11" i="9" s="1"/>
  <c r="AA11" i="9" s="1"/>
  <c r="X12" i="9"/>
  <c r="Z12" i="9" s="1"/>
  <c r="T3" i="9" a="1"/>
  <c r="T3" i="9" s="1"/>
  <c r="U5" i="9" a="1"/>
  <c r="U5" i="9" s="1"/>
  <c r="AA5" i="9" s="1"/>
  <c r="W5" i="9"/>
  <c r="T7" i="9" a="1"/>
  <c r="T7" i="9" s="1"/>
  <c r="U9" i="9" a="1"/>
  <c r="U9" i="9" s="1"/>
  <c r="AA9" i="9" s="1"/>
  <c r="W9" i="9"/>
  <c r="T11" i="9" a="1"/>
  <c r="T11" i="9" s="1"/>
  <c r="U4" i="9" a="1"/>
  <c r="U4" i="9" s="1"/>
  <c r="AA4" i="9" s="1"/>
  <c r="T6" i="9" a="1"/>
  <c r="T6" i="9" s="1"/>
  <c r="V6" i="9" a="1"/>
  <c r="V6" i="9" s="1"/>
  <c r="U8" i="9" a="1"/>
  <c r="U8" i="9" s="1"/>
  <c r="AA8" i="9" s="1"/>
  <c r="T10" i="9" a="1"/>
  <c r="T10" i="9" s="1"/>
  <c r="U12" i="9" a="1"/>
  <c r="U12" i="9" s="1"/>
  <c r="AA12" i="9" s="1"/>
  <c r="W5" i="8"/>
  <c r="U5" i="8" a="1"/>
  <c r="U5" i="8" s="1"/>
  <c r="AA5" i="8" s="1"/>
  <c r="V5" i="8" a="1"/>
  <c r="V5" i="8" s="1"/>
  <c r="T5" i="8" a="1"/>
  <c r="T5" i="8" s="1"/>
  <c r="T3" i="8" a="1"/>
  <c r="T3" i="8" s="1"/>
  <c r="W3" i="8"/>
  <c r="Z3" i="8" s="1"/>
  <c r="V4" i="8" a="1"/>
  <c r="V4" i="8" s="1"/>
  <c r="T4" i="8" a="1"/>
  <c r="T4" i="8" s="1"/>
  <c r="X4" i="8"/>
  <c r="Z4" i="8" s="1"/>
  <c r="V6" i="8" a="1"/>
  <c r="V6" i="8" s="1"/>
  <c r="V12" i="8" a="1"/>
  <c r="V12" i="8" s="1"/>
  <c r="X11" i="8"/>
  <c r="W13" i="8"/>
  <c r="Z13" i="8" s="1"/>
  <c r="U13" i="8" a="1"/>
  <c r="U13" i="8" s="1"/>
  <c r="AA13" i="8" s="1"/>
  <c r="T13" i="8" a="1"/>
  <c r="T13" i="8" s="1"/>
  <c r="V13" i="8" a="1"/>
  <c r="V13" i="8" s="1"/>
  <c r="V11" i="8" a="1"/>
  <c r="V11" i="8" s="1"/>
  <c r="T11" i="8" a="1"/>
  <c r="T11" i="8" s="1"/>
  <c r="V7" i="8" a="1"/>
  <c r="V7" i="8" s="1"/>
  <c r="T7" i="8" a="1"/>
  <c r="T7" i="8" s="1"/>
  <c r="V3" i="8" a="1"/>
  <c r="V3" i="8" s="1"/>
  <c r="W11" i="8"/>
  <c r="W7" i="8"/>
  <c r="U7" i="8" a="1"/>
  <c r="U7" i="8" s="1"/>
  <c r="AA7" i="8" s="1"/>
  <c r="U11" i="8" a="1"/>
  <c r="U11" i="8" s="1"/>
  <c r="AA11" i="8" s="1"/>
  <c r="U4" i="8" a="1"/>
  <c r="U4" i="8" s="1"/>
  <c r="AA4" i="8" s="1"/>
  <c r="X5" i="8"/>
  <c r="Z5" i="8" s="1"/>
  <c r="V8" i="8" a="1"/>
  <c r="V8" i="8" s="1"/>
  <c r="X10" i="8"/>
  <c r="U3" i="8" a="1"/>
  <c r="U3" i="8" s="1"/>
  <c r="AA3" i="8" s="1"/>
  <c r="X6" i="8"/>
  <c r="X7" i="8"/>
  <c r="U8" i="8" a="1"/>
  <c r="U8" i="8" s="1"/>
  <c r="AA8" i="8" s="1"/>
  <c r="W9" i="8"/>
  <c r="U9" i="8" a="1"/>
  <c r="U9" i="8" s="1"/>
  <c r="AA9" i="8" s="1"/>
  <c r="V9" i="8" a="1"/>
  <c r="V9" i="8" s="1"/>
  <c r="T9" i="8" a="1"/>
  <c r="T9" i="8" s="1"/>
  <c r="T10" i="8" a="1"/>
  <c r="T10" i="8" s="1"/>
  <c r="W12" i="8"/>
  <c r="X8" i="8"/>
  <c r="X12" i="8"/>
  <c r="U6" i="8" a="1"/>
  <c r="U6" i="8" s="1"/>
  <c r="AA6" i="8" s="1"/>
  <c r="W6" i="8"/>
  <c r="T8" i="8" a="1"/>
  <c r="T8" i="8" s="1"/>
  <c r="U10" i="8" a="1"/>
  <c r="U10" i="8" s="1"/>
  <c r="AA10" i="8" s="1"/>
  <c r="W10" i="8"/>
  <c r="T12" i="8" a="1"/>
  <c r="T12" i="8" s="1"/>
  <c r="W6" i="7"/>
  <c r="U6" i="7" a="1"/>
  <c r="U6" i="7" s="1"/>
  <c r="AA6" i="7" s="1"/>
  <c r="V6" i="7" a="1"/>
  <c r="V6" i="7" s="1"/>
  <c r="T6" i="7" a="1"/>
  <c r="T6" i="7" s="1"/>
  <c r="V4" i="7" a="1"/>
  <c r="V4" i="7" s="1"/>
  <c r="T4" i="7" a="1"/>
  <c r="T4" i="7" s="1"/>
  <c r="W4" i="7"/>
  <c r="U4" i="7" a="1"/>
  <c r="U4" i="7" s="1"/>
  <c r="AA4" i="7" s="1"/>
  <c r="X4" i="7"/>
  <c r="X10" i="7"/>
  <c r="U8" i="7" a="1"/>
  <c r="U8" i="7" s="1"/>
  <c r="AA8" i="7" s="1"/>
  <c r="W8" i="7"/>
  <c r="T10" i="7" a="1"/>
  <c r="T10" i="7" s="1"/>
  <c r="V10" i="7" a="1"/>
  <c r="V10" i="7" s="1"/>
  <c r="U12" i="7" a="1"/>
  <c r="U12" i="7" s="1"/>
  <c r="AA12" i="7" s="1"/>
  <c r="W12" i="7"/>
  <c r="X13" i="7"/>
  <c r="X8" i="7"/>
  <c r="X12" i="7"/>
  <c r="T8" i="7" a="1"/>
  <c r="T8" i="7" s="1"/>
  <c r="U10" i="7" a="1"/>
  <c r="U10" i="7" s="1"/>
  <c r="AA10" i="7" s="1"/>
  <c r="T12" i="7" a="1"/>
  <c r="T12" i="7" s="1"/>
  <c r="X4" i="6"/>
  <c r="Z4" i="6" s="1"/>
  <c r="U6" i="6" a="1"/>
  <c r="U6" i="6" s="1"/>
  <c r="AA6" i="6" s="1"/>
  <c r="W6" i="6"/>
  <c r="X7" i="6"/>
  <c r="Z7" i="6" s="1"/>
  <c r="T8" i="6" a="1"/>
  <c r="T8" i="6" s="1"/>
  <c r="V8" i="6" a="1"/>
  <c r="V8" i="6" s="1"/>
  <c r="U10" i="6" a="1"/>
  <c r="U10" i="6" s="1"/>
  <c r="AA10" i="6" s="1"/>
  <c r="W10" i="6"/>
  <c r="X11" i="6"/>
  <c r="Z11" i="6" s="1"/>
  <c r="T12" i="6" a="1"/>
  <c r="T12" i="6" s="1"/>
  <c r="V12" i="6" a="1"/>
  <c r="V12" i="6" s="1"/>
  <c r="X8" i="6"/>
  <c r="Z8" i="6" s="1"/>
  <c r="X12" i="6"/>
  <c r="Z12" i="6" s="1"/>
  <c r="X3" i="6"/>
  <c r="Z3" i="6" s="1"/>
  <c r="T4" i="6" a="1"/>
  <c r="T4" i="6" s="1"/>
  <c r="V4" i="6" a="1"/>
  <c r="V4" i="6" s="1"/>
  <c r="T3" i="6" a="1"/>
  <c r="T3" i="6" s="1"/>
  <c r="U5" i="6" a="1"/>
  <c r="U5" i="6" s="1"/>
  <c r="AA5" i="6" s="1"/>
  <c r="W5" i="6"/>
  <c r="T7" i="6" a="1"/>
  <c r="T7" i="6" s="1"/>
  <c r="U9" i="6" a="1"/>
  <c r="U9" i="6" s="1"/>
  <c r="AA9" i="6" s="1"/>
  <c r="W9" i="6"/>
  <c r="T11" i="6" a="1"/>
  <c r="T11" i="6" s="1"/>
  <c r="U4" i="6" a="1"/>
  <c r="U4" i="6" s="1"/>
  <c r="AA4" i="6" s="1"/>
  <c r="T6" i="6" a="1"/>
  <c r="T6" i="6" s="1"/>
  <c r="V6" i="6" a="1"/>
  <c r="V6" i="6" s="1"/>
  <c r="U8" i="6" a="1"/>
  <c r="U8" i="6" s="1"/>
  <c r="AA8" i="6" s="1"/>
  <c r="T10" i="6" a="1"/>
  <c r="T10" i="6" s="1"/>
  <c r="U12" i="6" a="1"/>
  <c r="U12" i="6" s="1"/>
  <c r="AA12" i="6" s="1"/>
  <c r="Y12" i="4"/>
  <c r="X4" i="5"/>
  <c r="Z4" i="5" s="1"/>
  <c r="T5" i="5" a="1"/>
  <c r="T5" i="5" s="1"/>
  <c r="V5" i="5" a="1"/>
  <c r="V5" i="5" s="1"/>
  <c r="X8" i="5"/>
  <c r="Z8" i="5" s="1"/>
  <c r="X12" i="5"/>
  <c r="Z12" i="5" s="1"/>
  <c r="X3" i="5"/>
  <c r="Z3" i="5" s="1"/>
  <c r="T4" i="5" a="1"/>
  <c r="T4" i="5" s="1"/>
  <c r="W6" i="5"/>
  <c r="X7" i="5"/>
  <c r="Z7" i="5" s="1"/>
  <c r="T8" i="5" a="1"/>
  <c r="T8" i="5" s="1"/>
  <c r="V8" i="5" a="1"/>
  <c r="V8" i="5" s="1"/>
  <c r="U10" i="5" a="1"/>
  <c r="U10" i="5" s="1"/>
  <c r="AA10" i="5" s="1"/>
  <c r="W10" i="5"/>
  <c r="X11" i="5"/>
  <c r="Z11" i="5" s="1"/>
  <c r="T12" i="5" a="1"/>
  <c r="T12" i="5" s="1"/>
  <c r="V12" i="5" a="1"/>
  <c r="V12" i="5" s="1"/>
  <c r="U6" i="5" a="1"/>
  <c r="U6" i="5" s="1"/>
  <c r="AA6" i="5" s="1"/>
  <c r="T3" i="5" a="1"/>
  <c r="T3" i="5" s="1"/>
  <c r="U5" i="5" a="1"/>
  <c r="U5" i="5" s="1"/>
  <c r="AA5" i="5" s="1"/>
  <c r="W5" i="5"/>
  <c r="T7" i="5" a="1"/>
  <c r="T7" i="5" s="1"/>
  <c r="U9" i="5" a="1"/>
  <c r="U9" i="5" s="1"/>
  <c r="AA9" i="5" s="1"/>
  <c r="W9" i="5"/>
  <c r="T11" i="5" a="1"/>
  <c r="T11" i="5" s="1"/>
  <c r="V6" i="5" a="1"/>
  <c r="V6" i="5" s="1"/>
  <c r="U8" i="5" a="1"/>
  <c r="U8" i="5" s="1"/>
  <c r="AA8" i="5" s="1"/>
  <c r="T10" i="5" a="1"/>
  <c r="T10" i="5" s="1"/>
  <c r="U12" i="5" a="1"/>
  <c r="U12" i="5" s="1"/>
  <c r="AA12" i="5" s="1"/>
  <c r="Y4" i="4"/>
  <c r="Z10" i="4"/>
  <c r="U3" i="4" a="1"/>
  <c r="U3" i="4" s="1"/>
  <c r="AA3" i="4" s="1"/>
  <c r="W3" i="4"/>
  <c r="T5" i="4" a="1"/>
  <c r="T5" i="4" s="1"/>
  <c r="V5" i="4" a="1"/>
  <c r="V5" i="4" s="1"/>
  <c r="U7" i="4" a="1"/>
  <c r="U7" i="4" s="1"/>
  <c r="AA7" i="4" s="1"/>
  <c r="W7" i="4"/>
  <c r="T9" i="4" a="1"/>
  <c r="T9" i="4" s="1"/>
  <c r="V9" i="4" a="1"/>
  <c r="V9" i="4" s="1"/>
  <c r="U11" i="4" a="1"/>
  <c r="U11" i="4" s="1"/>
  <c r="AA11" i="4" s="1"/>
  <c r="W11" i="4"/>
  <c r="AB12" i="4"/>
  <c r="X11" i="4"/>
  <c r="Z11" i="4" s="1"/>
  <c r="X3" i="4"/>
  <c r="Z3" i="4" s="1"/>
  <c r="X7" i="4"/>
  <c r="Z7" i="4" s="1"/>
  <c r="T3" i="4" a="1"/>
  <c r="T3" i="4" s="1"/>
  <c r="U5" i="4" a="1"/>
  <c r="U5" i="4" s="1"/>
  <c r="AA5" i="4" s="1"/>
  <c r="W5" i="4"/>
  <c r="T7" i="4" a="1"/>
  <c r="T7" i="4" s="1"/>
  <c r="U9" i="4" a="1"/>
  <c r="U9" i="4" s="1"/>
  <c r="AA9" i="4" s="1"/>
  <c r="W9" i="4"/>
  <c r="T11" i="4" a="1"/>
  <c r="T11" i="4" s="1"/>
  <c r="V4" i="3" a="1"/>
  <c r="V4" i="3" s="1"/>
  <c r="V6" i="3" a="1"/>
  <c r="V6" i="3" s="1"/>
  <c r="U8" i="3" a="1"/>
  <c r="U8" i="3" s="1"/>
  <c r="AA8" i="3" s="1"/>
  <c r="X11" i="3"/>
  <c r="W12" i="3"/>
  <c r="W13" i="3"/>
  <c r="X3" i="3"/>
  <c r="U4" i="3" a="1"/>
  <c r="U4" i="3" s="1"/>
  <c r="AA4" i="3" s="1"/>
  <c r="X7" i="3"/>
  <c r="W8" i="3"/>
  <c r="X10" i="3"/>
  <c r="V12" i="3" a="1"/>
  <c r="V12" i="3" s="1"/>
  <c r="W5" i="3"/>
  <c r="U5" i="3" a="1"/>
  <c r="U5" i="3" s="1"/>
  <c r="AA5" i="3" s="1"/>
  <c r="V5" i="3" a="1"/>
  <c r="V5" i="3" s="1"/>
  <c r="T5" i="3" a="1"/>
  <c r="T5" i="3" s="1"/>
  <c r="X5" i="3"/>
  <c r="W9" i="3"/>
  <c r="U9" i="3" a="1"/>
  <c r="U9" i="3" s="1"/>
  <c r="AA9" i="3" s="1"/>
  <c r="V9" i="3" a="1"/>
  <c r="V9" i="3" s="1"/>
  <c r="T9" i="3" a="1"/>
  <c r="T9" i="3" s="1"/>
  <c r="X13" i="3"/>
  <c r="U7" i="3" a="1"/>
  <c r="U7" i="3" s="1"/>
  <c r="AA7" i="3" s="1"/>
  <c r="W7" i="3"/>
  <c r="X8" i="3"/>
  <c r="W11" i="3"/>
  <c r="X12" i="3"/>
  <c r="T13" i="3" a="1"/>
  <c r="T13" i="3" s="1"/>
  <c r="V13" i="3" a="1"/>
  <c r="V13" i="3" s="1"/>
  <c r="U3" i="3" a="1"/>
  <c r="U3" i="3" s="1"/>
  <c r="AA3" i="3" s="1"/>
  <c r="W3" i="3"/>
  <c r="X4" i="3"/>
  <c r="Z4" i="3" s="1"/>
  <c r="U11" i="3" a="1"/>
  <c r="U11" i="3" s="1"/>
  <c r="AA11" i="3" s="1"/>
  <c r="T4" i="3" a="1"/>
  <c r="T4" i="3" s="1"/>
  <c r="U6" i="3" a="1"/>
  <c r="U6" i="3" s="1"/>
  <c r="AA6" i="3" s="1"/>
  <c r="W6" i="3"/>
  <c r="T8" i="3" a="1"/>
  <c r="T8" i="3" s="1"/>
  <c r="U10" i="3" a="1"/>
  <c r="U10" i="3" s="1"/>
  <c r="AA10" i="3" s="1"/>
  <c r="W10" i="3"/>
  <c r="T12" i="3" a="1"/>
  <c r="T12" i="3" s="1"/>
  <c r="T7" i="3" a="1"/>
  <c r="T7" i="3" s="1"/>
  <c r="V7" i="3" a="1"/>
  <c r="V7" i="3" s="1"/>
  <c r="T11" i="3" a="1"/>
  <c r="T11" i="3" s="1"/>
  <c r="U13" i="3" a="1"/>
  <c r="U13" i="3" s="1"/>
  <c r="AA13" i="3" s="1"/>
  <c r="Z6" i="5" l="1"/>
  <c r="Z9" i="5"/>
  <c r="Z5" i="5"/>
  <c r="Z10" i="5"/>
  <c r="Z9" i="4"/>
  <c r="Z5" i="4"/>
  <c r="Z4" i="4"/>
  <c r="AB4" i="4" s="1"/>
  <c r="Z6" i="6"/>
  <c r="Z9" i="6"/>
  <c r="Z5" i="6"/>
  <c r="Z10" i="6"/>
  <c r="Z6" i="9"/>
  <c r="Z5" i="9"/>
  <c r="Z9" i="9"/>
  <c r="Z10" i="9"/>
  <c r="Y3" i="7"/>
  <c r="Z8" i="8"/>
  <c r="Z6" i="7"/>
  <c r="Y11" i="7"/>
  <c r="AB11" i="7" s="1"/>
  <c r="Z10" i="7"/>
  <c r="Z7" i="7"/>
  <c r="Z5" i="7"/>
  <c r="AB5" i="7" s="1"/>
  <c r="Z13" i="7"/>
  <c r="Z8" i="7"/>
  <c r="Y7" i="7"/>
  <c r="Y9" i="7"/>
  <c r="Z3" i="7"/>
  <c r="AB3" i="7" s="1"/>
  <c r="Z9" i="7"/>
  <c r="Z6" i="3"/>
  <c r="Z9" i="3"/>
  <c r="Y6" i="4"/>
  <c r="AB6" i="4" s="1"/>
  <c r="AB10" i="4"/>
  <c r="Y8" i="4"/>
  <c r="AB8" i="4" s="1"/>
  <c r="Z12" i="8"/>
  <c r="Y4" i="8"/>
  <c r="AB4" i="8" s="1"/>
  <c r="Y6" i="9"/>
  <c r="AB6" i="9" s="1"/>
  <c r="Y8" i="9"/>
  <c r="AB8" i="9" s="1"/>
  <c r="Y12" i="9"/>
  <c r="AB12" i="9" s="1"/>
  <c r="Y7" i="9"/>
  <c r="AB7" i="9" s="1"/>
  <c r="Y5" i="9"/>
  <c r="AB5" i="9" s="1"/>
  <c r="Y9" i="9"/>
  <c r="Y10" i="9"/>
  <c r="AB10" i="9" s="1"/>
  <c r="Y11" i="9"/>
  <c r="AB11" i="9" s="1"/>
  <c r="Y3" i="9"/>
  <c r="AB3" i="9" s="1"/>
  <c r="Y4" i="9"/>
  <c r="AB4" i="9" s="1"/>
  <c r="Z7" i="8"/>
  <c r="Z6" i="8"/>
  <c r="Y7" i="8"/>
  <c r="AB7" i="8" s="1"/>
  <c r="Y13" i="8"/>
  <c r="AB13" i="8" s="1"/>
  <c r="Y8" i="8"/>
  <c r="Y5" i="8"/>
  <c r="AB5" i="8" s="1"/>
  <c r="Y10" i="8"/>
  <c r="Y12" i="8"/>
  <c r="Z10" i="8"/>
  <c r="Y11" i="8"/>
  <c r="Y6" i="8"/>
  <c r="Y9" i="8"/>
  <c r="Z11" i="8"/>
  <c r="Y3" i="8"/>
  <c r="AB3" i="8" s="1"/>
  <c r="Z9" i="8"/>
  <c r="Z12" i="7"/>
  <c r="Y13" i="7"/>
  <c r="Y4" i="7"/>
  <c r="Y12" i="7"/>
  <c r="Y8" i="7"/>
  <c r="Y10" i="7"/>
  <c r="Z4" i="7"/>
  <c r="AB4" i="7" s="1"/>
  <c r="Y6" i="7"/>
  <c r="AB6" i="7" s="1"/>
  <c r="Z12" i="3"/>
  <c r="Y9" i="6"/>
  <c r="AB9" i="6" s="1"/>
  <c r="Y5" i="6"/>
  <c r="AB5" i="6" s="1"/>
  <c r="Y7" i="6"/>
  <c r="AB7" i="6" s="1"/>
  <c r="Y12" i="6"/>
  <c r="AB12" i="6" s="1"/>
  <c r="Y10" i="6"/>
  <c r="AB10" i="6" s="1"/>
  <c r="Y6" i="6"/>
  <c r="AB6" i="6" s="1"/>
  <c r="Y11" i="6"/>
  <c r="AB11" i="6" s="1"/>
  <c r="Y8" i="6"/>
  <c r="AB8" i="6" s="1"/>
  <c r="Y3" i="6"/>
  <c r="AB3" i="6" s="1"/>
  <c r="Y4" i="6"/>
  <c r="AB4" i="6" s="1"/>
  <c r="Y11" i="5"/>
  <c r="AB11" i="5" s="1"/>
  <c r="Z10" i="3"/>
  <c r="Y8" i="5"/>
  <c r="AB8" i="5" s="1"/>
  <c r="Z3" i="3"/>
  <c r="Y7" i="5"/>
  <c r="AB7" i="5" s="1"/>
  <c r="Y9" i="5"/>
  <c r="Y5" i="5"/>
  <c r="AB5" i="5" s="1"/>
  <c r="Y10" i="5"/>
  <c r="AB10" i="5" s="1"/>
  <c r="Y6" i="5"/>
  <c r="AB6" i="5" s="1"/>
  <c r="Y12" i="5"/>
  <c r="AB12" i="5" s="1"/>
  <c r="Y4" i="5"/>
  <c r="AB4" i="5" s="1"/>
  <c r="Y3" i="5"/>
  <c r="AB3" i="5" s="1"/>
  <c r="Z11" i="3"/>
  <c r="Z5" i="3"/>
  <c r="Z8" i="3"/>
  <c r="Y13" i="3"/>
  <c r="Y3" i="4"/>
  <c r="AB3" i="4" s="1"/>
  <c r="Y5" i="4"/>
  <c r="AB5" i="4" s="1"/>
  <c r="Y11" i="4"/>
  <c r="AB11" i="4" s="1"/>
  <c r="Y9" i="4"/>
  <c r="AB9" i="4" s="1"/>
  <c r="Y7" i="4"/>
  <c r="AB7" i="4" s="1"/>
  <c r="Z13" i="3"/>
  <c r="Y10" i="3"/>
  <c r="Y7" i="3"/>
  <c r="Y8" i="3"/>
  <c r="Y12" i="3"/>
  <c r="Y5" i="3"/>
  <c r="Y6" i="3"/>
  <c r="AB6" i="3" s="1"/>
  <c r="Y3" i="3"/>
  <c r="Y11" i="3"/>
  <c r="Y4" i="3"/>
  <c r="AB4" i="3" s="1"/>
  <c r="Y9" i="3"/>
  <c r="Z7" i="3"/>
  <c r="AB9" i="9" l="1"/>
  <c r="AB13" i="7"/>
  <c r="AB9" i="5"/>
  <c r="AB9" i="8"/>
  <c r="AB8" i="8"/>
  <c r="AB12" i="8"/>
  <c r="AB10" i="8"/>
  <c r="AB10" i="7"/>
  <c r="AB7" i="7"/>
  <c r="AB8" i="7"/>
  <c r="AB9" i="7"/>
  <c r="AB9" i="3"/>
  <c r="AB11" i="8"/>
  <c r="AC8" i="9"/>
  <c r="AB12" i="7"/>
  <c r="AC8" i="7" s="1"/>
  <c r="AB6" i="8"/>
  <c r="AC11" i="9"/>
  <c r="AC5" i="9"/>
  <c r="AC3" i="9"/>
  <c r="AC9" i="9"/>
  <c r="AC6" i="9"/>
  <c r="AC12" i="9"/>
  <c r="AC10" i="9"/>
  <c r="AC4" i="9"/>
  <c r="AC7" i="9"/>
  <c r="AB10" i="3"/>
  <c r="AB12" i="3"/>
  <c r="AB3" i="3"/>
  <c r="AB8" i="3"/>
  <c r="AC4" i="6"/>
  <c r="AC7" i="6"/>
  <c r="AC5" i="6"/>
  <c r="AC3" i="6"/>
  <c r="AC11" i="6"/>
  <c r="AC9" i="6"/>
  <c r="AC10" i="6"/>
  <c r="AC12" i="6"/>
  <c r="AC8" i="6"/>
  <c r="AC6" i="6"/>
  <c r="AB5" i="3"/>
  <c r="AC9" i="5"/>
  <c r="AB7" i="3"/>
  <c r="AC6" i="5"/>
  <c r="AC3" i="5"/>
  <c r="AC5" i="5"/>
  <c r="AC4" i="5"/>
  <c r="AC10" i="5"/>
  <c r="AC7" i="5"/>
  <c r="AC8" i="5"/>
  <c r="AC12" i="5"/>
  <c r="AC11" i="5"/>
  <c r="AB11" i="3"/>
  <c r="AB13" i="3"/>
  <c r="AC5" i="4"/>
  <c r="AC4" i="4"/>
  <c r="AC10" i="4"/>
  <c r="AC12" i="4"/>
  <c r="AC9" i="4"/>
  <c r="AC7" i="4"/>
  <c r="AC3" i="4"/>
  <c r="AC11" i="4"/>
  <c r="AC6" i="4"/>
  <c r="AC8" i="4"/>
  <c r="H12" i="4" l="1"/>
  <c r="H11" i="4"/>
  <c r="H10" i="4"/>
  <c r="H9" i="4"/>
  <c r="H8" i="4"/>
  <c r="H7" i="4"/>
  <c r="H6" i="4"/>
  <c r="H5" i="4"/>
  <c r="H4" i="4"/>
  <c r="H3" i="4"/>
  <c r="H12" i="5"/>
  <c r="H11" i="5"/>
  <c r="H10" i="5"/>
  <c r="H9" i="5"/>
  <c r="H8" i="5"/>
  <c r="H7" i="5"/>
  <c r="H6" i="5"/>
  <c r="H5" i="5"/>
  <c r="H4" i="5"/>
  <c r="H3" i="5"/>
  <c r="H12" i="6"/>
  <c r="H11" i="6"/>
  <c r="H10" i="6"/>
  <c r="H9" i="6"/>
  <c r="H8" i="6"/>
  <c r="H7" i="6"/>
  <c r="H6" i="6"/>
  <c r="H5" i="6"/>
  <c r="H4" i="6"/>
  <c r="H3" i="6"/>
  <c r="H12" i="9"/>
  <c r="H11" i="9"/>
  <c r="H10" i="9"/>
  <c r="H9" i="9"/>
  <c r="H8" i="9"/>
  <c r="H7" i="9"/>
  <c r="H6" i="9"/>
  <c r="H5" i="9"/>
  <c r="H4" i="9"/>
  <c r="H3" i="9"/>
  <c r="AC7" i="8"/>
  <c r="AC5" i="8"/>
  <c r="AC4" i="8"/>
  <c r="AC11" i="8"/>
  <c r="AC3" i="8"/>
  <c r="AC10" i="8"/>
  <c r="AC13" i="8"/>
  <c r="AC12" i="8"/>
  <c r="AC9" i="8"/>
  <c r="AC8" i="8"/>
  <c r="AC6" i="8"/>
  <c r="AC6" i="7"/>
  <c r="AC13" i="7"/>
  <c r="AC10" i="7"/>
  <c r="AC12" i="7"/>
  <c r="AC11" i="7"/>
  <c r="AC5" i="7"/>
  <c r="AC3" i="7"/>
  <c r="AC9" i="7"/>
  <c r="AC4" i="7"/>
  <c r="AC7" i="7"/>
  <c r="AC4" i="3"/>
  <c r="AC7" i="3"/>
  <c r="AC11" i="3"/>
  <c r="AC6" i="3"/>
  <c r="AC5" i="3"/>
  <c r="AC8" i="3"/>
  <c r="AC10" i="3"/>
  <c r="AC12" i="3"/>
  <c r="AC3" i="3"/>
  <c r="AC13" i="3"/>
  <c r="AC9" i="3"/>
  <c r="H13" i="3" l="1"/>
  <c r="H12" i="3"/>
  <c r="H11" i="3"/>
  <c r="H10" i="3"/>
  <c r="H9" i="3"/>
  <c r="H8" i="3"/>
  <c r="H7" i="3"/>
  <c r="H6" i="3"/>
  <c r="H5" i="3"/>
  <c r="H4" i="3"/>
  <c r="H3" i="3"/>
  <c r="H13" i="7"/>
  <c r="H12" i="7"/>
  <c r="H11" i="7"/>
  <c r="H10" i="7"/>
  <c r="H9" i="7"/>
  <c r="H8" i="7"/>
  <c r="H7" i="7"/>
  <c r="H6" i="7"/>
  <c r="H5" i="7"/>
  <c r="H4" i="7"/>
  <c r="H3" i="7"/>
  <c r="H13" i="8"/>
  <c r="H12" i="8"/>
  <c r="H11" i="8"/>
  <c r="H10" i="8"/>
  <c r="H9" i="8"/>
  <c r="H8" i="8"/>
  <c r="H7" i="8"/>
  <c r="H6" i="8"/>
  <c r="H5" i="8"/>
  <c r="H4" i="8"/>
  <c r="H3" i="8"/>
  <c r="K3" i="9"/>
  <c r="I3" i="9"/>
  <c r="M3" i="9"/>
  <c r="L3" i="9"/>
  <c r="P3" i="9"/>
  <c r="J3" i="9"/>
  <c r="N3" i="9"/>
  <c r="P4" i="9"/>
  <c r="J4" i="9"/>
  <c r="I4" i="9"/>
  <c r="M4" i="9"/>
  <c r="N4" i="9"/>
  <c r="K4" i="9"/>
  <c r="L4" i="9"/>
  <c r="P5" i="9"/>
  <c r="K5" i="9"/>
  <c r="M5" i="9"/>
  <c r="I5" i="9"/>
  <c r="N5" i="9"/>
  <c r="J5" i="9"/>
  <c r="L5" i="9"/>
  <c r="N6" i="9"/>
  <c r="K6" i="9"/>
  <c r="L6" i="9"/>
  <c r="P6" i="9"/>
  <c r="I6" i="9"/>
  <c r="M6" i="9"/>
  <c r="O6" i="9" s="1"/>
  <c r="J6" i="9"/>
  <c r="K7" i="9"/>
  <c r="I7" i="9"/>
  <c r="M7" i="9"/>
  <c r="L7" i="9"/>
  <c r="P7" i="9"/>
  <c r="J7" i="9"/>
  <c r="N7" i="9"/>
  <c r="P8" i="9"/>
  <c r="J8" i="9"/>
  <c r="M8" i="9"/>
  <c r="I8" i="9"/>
  <c r="N8" i="9"/>
  <c r="K8" i="9"/>
  <c r="L8" i="9"/>
  <c r="P9" i="9"/>
  <c r="M9" i="9"/>
  <c r="I9" i="9"/>
  <c r="N9" i="9"/>
  <c r="J9" i="9"/>
  <c r="K9" i="9"/>
  <c r="L9" i="9"/>
  <c r="N10" i="9"/>
  <c r="K10" i="9"/>
  <c r="L10" i="9"/>
  <c r="P10" i="9"/>
  <c r="I10" i="9"/>
  <c r="M10" i="9"/>
  <c r="O10" i="9" s="1"/>
  <c r="J10" i="9"/>
  <c r="K11" i="9"/>
  <c r="P11" i="9"/>
  <c r="I11" i="9"/>
  <c r="M11" i="9"/>
  <c r="J11" i="9"/>
  <c r="N11" i="9"/>
  <c r="L11" i="9"/>
  <c r="P12" i="9"/>
  <c r="I12" i="9"/>
  <c r="J12" i="9"/>
  <c r="N12" i="9"/>
  <c r="M12" i="9"/>
  <c r="K12" i="9"/>
  <c r="L12" i="9"/>
  <c r="K3" i="6"/>
  <c r="L3" i="6"/>
  <c r="P3" i="6"/>
  <c r="I3" i="6"/>
  <c r="M3" i="6"/>
  <c r="O3" i="6" s="1"/>
  <c r="J3" i="6"/>
  <c r="N3" i="6"/>
  <c r="P4" i="6"/>
  <c r="I4" i="6"/>
  <c r="M4" i="6"/>
  <c r="J4" i="6"/>
  <c r="N4" i="6"/>
  <c r="K4" i="6"/>
  <c r="L4" i="6"/>
  <c r="P5" i="6"/>
  <c r="I5" i="6"/>
  <c r="J5" i="6"/>
  <c r="K5" i="6"/>
  <c r="N5" i="6"/>
  <c r="M5" i="6"/>
  <c r="L5" i="6"/>
  <c r="M6" i="6"/>
  <c r="J6" i="6"/>
  <c r="K6" i="6"/>
  <c r="N6" i="6"/>
  <c r="L6" i="6"/>
  <c r="P6" i="6"/>
  <c r="I6" i="6"/>
  <c r="K7" i="6"/>
  <c r="I7" i="6"/>
  <c r="M7" i="6"/>
  <c r="J7" i="6"/>
  <c r="N7" i="6"/>
  <c r="L7" i="6"/>
  <c r="P7" i="6"/>
  <c r="P8" i="6"/>
  <c r="I8" i="6"/>
  <c r="M8" i="6"/>
  <c r="J8" i="6"/>
  <c r="N8" i="6"/>
  <c r="K8" i="6"/>
  <c r="L8" i="6"/>
  <c r="P9" i="6"/>
  <c r="M9" i="6"/>
  <c r="I9" i="6"/>
  <c r="N9" i="6"/>
  <c r="J9" i="6"/>
  <c r="K9" i="6"/>
  <c r="L9" i="6"/>
  <c r="M10" i="6"/>
  <c r="N10" i="6"/>
  <c r="J10" i="6"/>
  <c r="K10" i="6"/>
  <c r="L10" i="6"/>
  <c r="P10" i="6"/>
  <c r="I10" i="6"/>
  <c r="K11" i="6"/>
  <c r="L11" i="6"/>
  <c r="P11" i="6"/>
  <c r="I11" i="6"/>
  <c r="M11" i="6"/>
  <c r="O11" i="6" s="1"/>
  <c r="J11" i="6"/>
  <c r="N11" i="6"/>
  <c r="P12" i="6"/>
  <c r="M12" i="6"/>
  <c r="I12" i="6"/>
  <c r="J12" i="6"/>
  <c r="N12" i="6"/>
  <c r="K12" i="6"/>
  <c r="L12" i="6"/>
  <c r="N3" i="5"/>
  <c r="K3" i="5"/>
  <c r="L3" i="5"/>
  <c r="P3" i="5"/>
  <c r="I3" i="5"/>
  <c r="M3" i="5"/>
  <c r="O3" i="5" s="1"/>
  <c r="J3" i="5"/>
  <c r="K4" i="5"/>
  <c r="L4" i="5"/>
  <c r="P4" i="5"/>
  <c r="I4" i="5"/>
  <c r="M4" i="5"/>
  <c r="O4" i="5" s="1"/>
  <c r="J4" i="5"/>
  <c r="N4" i="5"/>
  <c r="P5" i="5"/>
  <c r="K5" i="5"/>
  <c r="M5" i="5"/>
  <c r="I5" i="5"/>
  <c r="N5" i="5"/>
  <c r="J5" i="5"/>
  <c r="L5" i="5"/>
  <c r="M6" i="5"/>
  <c r="J6" i="5"/>
  <c r="K6" i="5"/>
  <c r="N6" i="5"/>
  <c r="L6" i="5"/>
  <c r="P6" i="5"/>
  <c r="I6" i="5"/>
  <c r="K7" i="5"/>
  <c r="L7" i="5"/>
  <c r="P7" i="5"/>
  <c r="I7" i="5"/>
  <c r="M7" i="5"/>
  <c r="O7" i="5" s="1"/>
  <c r="J7" i="5"/>
  <c r="N7" i="5"/>
  <c r="P8" i="5"/>
  <c r="M8" i="5"/>
  <c r="I8" i="5"/>
  <c r="J8" i="5"/>
  <c r="N8" i="5"/>
  <c r="K8" i="5"/>
  <c r="L8" i="5"/>
  <c r="P9" i="5"/>
  <c r="K9" i="5"/>
  <c r="J9" i="5"/>
  <c r="M9" i="5"/>
  <c r="I9" i="5"/>
  <c r="N9" i="5"/>
  <c r="L9" i="5"/>
  <c r="M10" i="5"/>
  <c r="J10" i="5"/>
  <c r="K10" i="5"/>
  <c r="N10" i="5"/>
  <c r="L10" i="5"/>
  <c r="P10" i="5"/>
  <c r="I10" i="5"/>
  <c r="K11" i="5"/>
  <c r="L11" i="5"/>
  <c r="P11" i="5"/>
  <c r="I11" i="5"/>
  <c r="M11" i="5"/>
  <c r="O11" i="5" s="1"/>
  <c r="J11" i="5"/>
  <c r="N11" i="5"/>
  <c r="P12" i="5"/>
  <c r="N12" i="5"/>
  <c r="I12" i="5"/>
  <c r="J12" i="5"/>
  <c r="M12" i="5"/>
  <c r="K12" i="5"/>
  <c r="L12" i="5"/>
  <c r="N3" i="4"/>
  <c r="M3" i="4"/>
  <c r="I3" i="4"/>
  <c r="K3" i="4"/>
  <c r="L3" i="4"/>
  <c r="P3" i="4"/>
  <c r="J3" i="4"/>
  <c r="K4" i="4"/>
  <c r="I4" i="4"/>
  <c r="M4" i="4"/>
  <c r="L4" i="4"/>
  <c r="P4" i="4"/>
  <c r="J4" i="4"/>
  <c r="N4" i="4"/>
  <c r="P5" i="4"/>
  <c r="K5" i="4"/>
  <c r="M5" i="4"/>
  <c r="I5" i="4"/>
  <c r="N5" i="4"/>
  <c r="J5" i="4"/>
  <c r="L5" i="4"/>
  <c r="M6" i="4"/>
  <c r="J6" i="4"/>
  <c r="N6" i="4"/>
  <c r="K6" i="4"/>
  <c r="L6" i="4"/>
  <c r="P6" i="4"/>
  <c r="I6" i="4"/>
  <c r="N7" i="4"/>
  <c r="I7" i="4"/>
  <c r="K7" i="4"/>
  <c r="M7" i="4"/>
  <c r="L7" i="4"/>
  <c r="P7" i="4"/>
  <c r="J7" i="4"/>
  <c r="P8" i="4"/>
  <c r="I8" i="4"/>
  <c r="M8" i="4"/>
  <c r="J8" i="4"/>
  <c r="N8" i="4"/>
  <c r="K8" i="4"/>
  <c r="L8" i="4"/>
  <c r="P9" i="4"/>
  <c r="I9" i="4"/>
  <c r="N9" i="4"/>
  <c r="J9" i="4"/>
  <c r="M9" i="4"/>
  <c r="K9" i="4"/>
  <c r="L9" i="4"/>
  <c r="M10" i="4"/>
  <c r="J10" i="4"/>
  <c r="N10" i="4"/>
  <c r="K10" i="4"/>
  <c r="L10" i="4"/>
  <c r="P10" i="4"/>
  <c r="I10" i="4"/>
  <c r="N11" i="4"/>
  <c r="I11" i="4"/>
  <c r="K11" i="4"/>
  <c r="M11" i="4"/>
  <c r="L11" i="4"/>
  <c r="P11" i="4"/>
  <c r="J11" i="4"/>
  <c r="P12" i="4"/>
  <c r="I12" i="4"/>
  <c r="M12" i="4"/>
  <c r="J12" i="4"/>
  <c r="N12" i="4"/>
  <c r="K12" i="4"/>
  <c r="L12" i="4"/>
  <c r="B57" i="2"/>
  <c r="A57" i="2"/>
  <c r="B52" i="2"/>
  <c r="A52" i="2"/>
  <c r="B47" i="2"/>
  <c r="A47" i="2"/>
  <c r="B42" i="2"/>
  <c r="A42" i="2"/>
  <c r="B37" i="2"/>
  <c r="A37" i="2"/>
  <c r="B32" i="2"/>
  <c r="A32" i="2"/>
  <c r="B27" i="2"/>
  <c r="A27" i="2"/>
  <c r="B22" i="2"/>
  <c r="A22" i="2"/>
  <c r="B17" i="2"/>
  <c r="A17" i="2"/>
  <c r="S12" i="2"/>
  <c r="T1" i="2"/>
  <c r="O5" i="9" l="1"/>
  <c r="O7" i="9"/>
  <c r="O8" i="5"/>
  <c r="O9" i="5"/>
  <c r="O6" i="5"/>
  <c r="O5" i="5"/>
  <c r="O10" i="5"/>
  <c r="O12" i="5"/>
  <c r="O7" i="4"/>
  <c r="O8" i="4"/>
  <c r="O9" i="4"/>
  <c r="O6" i="4"/>
  <c r="O10" i="4"/>
  <c r="O5" i="4"/>
  <c r="O4" i="4"/>
  <c r="O11" i="4"/>
  <c r="O3" i="4"/>
  <c r="O12" i="4"/>
  <c r="O8" i="6"/>
  <c r="O7" i="6"/>
  <c r="O9" i="6"/>
  <c r="O6" i="6"/>
  <c r="O10" i="6"/>
  <c r="O5" i="6"/>
  <c r="O4" i="6"/>
  <c r="O12" i="6"/>
  <c r="O4" i="9"/>
  <c r="O3" i="9"/>
  <c r="O8" i="9"/>
  <c r="O9" i="9"/>
  <c r="O11" i="9"/>
  <c r="O12" i="9"/>
  <c r="L3" i="8"/>
  <c r="M3" i="8"/>
  <c r="O3" i="8" s="1"/>
  <c r="I3" i="8"/>
  <c r="N3" i="8"/>
  <c r="J3" i="8"/>
  <c r="K3" i="8"/>
  <c r="P3" i="8"/>
  <c r="K4" i="8"/>
  <c r="N4" i="8"/>
  <c r="J4" i="8"/>
  <c r="P4" i="8"/>
  <c r="I4" i="8"/>
  <c r="L4" i="8"/>
  <c r="M4" i="8"/>
  <c r="O4" i="8" s="1"/>
  <c r="P5" i="8"/>
  <c r="M5" i="8"/>
  <c r="N5" i="8"/>
  <c r="I5" i="8"/>
  <c r="J5" i="8"/>
  <c r="K5" i="8"/>
  <c r="L5" i="8"/>
  <c r="P6" i="8"/>
  <c r="J6" i="8"/>
  <c r="N6" i="8"/>
  <c r="I6" i="8"/>
  <c r="K6" i="8"/>
  <c r="M6" i="8"/>
  <c r="L6" i="8"/>
  <c r="N7" i="8"/>
  <c r="K7" i="8"/>
  <c r="L7" i="8"/>
  <c r="P7" i="8"/>
  <c r="I7" i="8"/>
  <c r="M7" i="8"/>
  <c r="O7" i="8" s="1"/>
  <c r="J7" i="8"/>
  <c r="P8" i="8"/>
  <c r="L8" i="8"/>
  <c r="K8" i="8"/>
  <c r="N8" i="8"/>
  <c r="J8" i="8"/>
  <c r="M8" i="8"/>
  <c r="O8" i="8" s="1"/>
  <c r="I8" i="8"/>
  <c r="P9" i="8"/>
  <c r="J9" i="8"/>
  <c r="I9" i="8"/>
  <c r="M9" i="8"/>
  <c r="N9" i="8"/>
  <c r="K9" i="8"/>
  <c r="L9" i="8"/>
  <c r="P10" i="8"/>
  <c r="K10" i="8"/>
  <c r="M10" i="8"/>
  <c r="I10" i="8"/>
  <c r="N10" i="8"/>
  <c r="J10" i="8"/>
  <c r="L10" i="8"/>
  <c r="N11" i="8"/>
  <c r="K11" i="8"/>
  <c r="L11" i="8"/>
  <c r="P11" i="8"/>
  <c r="I11" i="8"/>
  <c r="M11" i="8"/>
  <c r="O11" i="8" s="1"/>
  <c r="J11" i="8"/>
  <c r="P12" i="8"/>
  <c r="K12" i="8"/>
  <c r="N12" i="8"/>
  <c r="J12" i="8"/>
  <c r="M12" i="8"/>
  <c r="I12" i="8"/>
  <c r="L12" i="8"/>
  <c r="P13" i="8"/>
  <c r="I13" i="8"/>
  <c r="J13" i="8"/>
  <c r="M13" i="8"/>
  <c r="N13" i="8"/>
  <c r="K13" i="8"/>
  <c r="L13" i="8"/>
  <c r="L3" i="7"/>
  <c r="N3" i="7"/>
  <c r="M3" i="7"/>
  <c r="O3" i="7" s="1"/>
  <c r="I3" i="7"/>
  <c r="K3" i="7"/>
  <c r="P3" i="7"/>
  <c r="J3" i="7"/>
  <c r="N4" i="7"/>
  <c r="K4" i="7"/>
  <c r="I4" i="7"/>
  <c r="M4" i="7"/>
  <c r="L4" i="7"/>
  <c r="P4" i="7"/>
  <c r="J4" i="7"/>
  <c r="N5" i="7"/>
  <c r="J5" i="7"/>
  <c r="L5" i="7"/>
  <c r="K5" i="7"/>
  <c r="M5" i="7"/>
  <c r="O5" i="7" s="1"/>
  <c r="I5" i="7"/>
  <c r="P5" i="7"/>
  <c r="P6" i="7"/>
  <c r="M6" i="7"/>
  <c r="I6" i="7"/>
  <c r="N6" i="7"/>
  <c r="J6" i="7"/>
  <c r="K6" i="7"/>
  <c r="L6" i="7"/>
  <c r="M7" i="7"/>
  <c r="J7" i="7"/>
  <c r="N7" i="7"/>
  <c r="K7" i="7"/>
  <c r="L7" i="7"/>
  <c r="P7" i="7"/>
  <c r="I7" i="7"/>
  <c r="N8" i="7"/>
  <c r="I8" i="7"/>
  <c r="K8" i="7"/>
  <c r="M8" i="7"/>
  <c r="L8" i="7"/>
  <c r="P8" i="7"/>
  <c r="J8" i="7"/>
  <c r="K9" i="7"/>
  <c r="L9" i="7"/>
  <c r="P9" i="7"/>
  <c r="I9" i="7"/>
  <c r="M9" i="7"/>
  <c r="O9" i="7" s="1"/>
  <c r="J9" i="7"/>
  <c r="N9" i="7"/>
  <c r="P10" i="7"/>
  <c r="I10" i="7"/>
  <c r="N10" i="7"/>
  <c r="M10" i="7"/>
  <c r="J10" i="7"/>
  <c r="K10" i="7"/>
  <c r="L10" i="7"/>
  <c r="M11" i="7"/>
  <c r="N11" i="7"/>
  <c r="J11" i="7"/>
  <c r="K11" i="7"/>
  <c r="L11" i="7"/>
  <c r="P11" i="7"/>
  <c r="I11" i="7"/>
  <c r="N12" i="7"/>
  <c r="I12" i="7"/>
  <c r="K12" i="7"/>
  <c r="M12" i="7"/>
  <c r="L12" i="7"/>
  <c r="P12" i="7"/>
  <c r="J12" i="7"/>
  <c r="K13" i="7"/>
  <c r="L13" i="7"/>
  <c r="P13" i="7"/>
  <c r="I13" i="7"/>
  <c r="M13" i="7"/>
  <c r="O13" i="7" s="1"/>
  <c r="J13" i="7"/>
  <c r="N13" i="7"/>
  <c r="M3" i="3"/>
  <c r="K3" i="3"/>
  <c r="N3" i="3"/>
  <c r="J3" i="3"/>
  <c r="L3" i="3"/>
  <c r="P3" i="3"/>
  <c r="I3" i="3"/>
  <c r="P4" i="3"/>
  <c r="L4" i="3"/>
  <c r="K4" i="3"/>
  <c r="N4" i="3"/>
  <c r="J4" i="3"/>
  <c r="M4" i="3"/>
  <c r="O4" i="3" s="1"/>
  <c r="I4" i="3"/>
  <c r="P5" i="3"/>
  <c r="M5" i="3"/>
  <c r="I5" i="3"/>
  <c r="J5" i="3"/>
  <c r="N5" i="3"/>
  <c r="K5" i="3"/>
  <c r="L5" i="3"/>
  <c r="P6" i="3"/>
  <c r="J6" i="3"/>
  <c r="K6" i="3"/>
  <c r="M6" i="3"/>
  <c r="I6" i="3"/>
  <c r="N6" i="3"/>
  <c r="L6" i="3"/>
  <c r="M7" i="3"/>
  <c r="K7" i="3"/>
  <c r="N7" i="3"/>
  <c r="J7" i="3"/>
  <c r="L7" i="3"/>
  <c r="P7" i="3"/>
  <c r="I7" i="3"/>
  <c r="K8" i="3"/>
  <c r="N8" i="3"/>
  <c r="J8" i="3"/>
  <c r="M8" i="3"/>
  <c r="I8" i="3"/>
  <c r="L8" i="3"/>
  <c r="P8" i="3"/>
  <c r="P9" i="3"/>
  <c r="I9" i="3"/>
  <c r="M9" i="3"/>
  <c r="J9" i="3"/>
  <c r="N9" i="3"/>
  <c r="K9" i="3"/>
  <c r="L9" i="3"/>
  <c r="P10" i="3"/>
  <c r="M10" i="3"/>
  <c r="I10" i="3"/>
  <c r="N10" i="3"/>
  <c r="J10" i="3"/>
  <c r="K10" i="3"/>
  <c r="L10" i="3"/>
  <c r="M11" i="3"/>
  <c r="K11" i="3"/>
  <c r="N11" i="3"/>
  <c r="J11" i="3"/>
  <c r="L11" i="3"/>
  <c r="P11" i="3"/>
  <c r="I11" i="3"/>
  <c r="K12" i="3"/>
  <c r="I12" i="3"/>
  <c r="M12" i="3"/>
  <c r="L12" i="3"/>
  <c r="P12" i="3"/>
  <c r="J12" i="3"/>
  <c r="N12" i="3"/>
  <c r="P13" i="3"/>
  <c r="M13" i="3"/>
  <c r="I13" i="3"/>
  <c r="J13" i="3"/>
  <c r="N13" i="3"/>
  <c r="K13" i="3"/>
  <c r="L13" i="3"/>
  <c r="B61" i="2"/>
  <c r="B60" i="2"/>
  <c r="B59" i="2"/>
  <c r="B58" i="2"/>
  <c r="A61" i="2"/>
  <c r="A60" i="2"/>
  <c r="A59" i="2"/>
  <c r="A58" i="2"/>
  <c r="B56" i="2"/>
  <c r="B55" i="2"/>
  <c r="B54" i="2"/>
  <c r="B53" i="2"/>
  <c r="A56" i="2"/>
  <c r="A55" i="2"/>
  <c r="A54" i="2"/>
  <c r="A53" i="2"/>
  <c r="B51" i="2"/>
  <c r="B50" i="2"/>
  <c r="B49" i="2"/>
  <c r="B48" i="2"/>
  <c r="A51" i="2"/>
  <c r="A50" i="2"/>
  <c r="A49" i="2"/>
  <c r="A48" i="2"/>
  <c r="A46" i="2"/>
  <c r="B46" i="2"/>
  <c r="B45" i="2"/>
  <c r="B44" i="2"/>
  <c r="B43" i="2"/>
  <c r="A45" i="2"/>
  <c r="A44" i="2"/>
  <c r="A43" i="2"/>
  <c r="B41" i="2"/>
  <c r="B40" i="2"/>
  <c r="B39" i="2"/>
  <c r="B38" i="2"/>
  <c r="A40" i="2"/>
  <c r="A41" i="2"/>
  <c r="A39" i="2"/>
  <c r="A38" i="2"/>
  <c r="B36" i="2"/>
  <c r="B35" i="2"/>
  <c r="B34" i="2"/>
  <c r="B33" i="2"/>
  <c r="A36" i="2"/>
  <c r="A35" i="2"/>
  <c r="A34" i="2"/>
  <c r="A33" i="2"/>
  <c r="B31" i="2"/>
  <c r="B30" i="2"/>
  <c r="B29" i="2"/>
  <c r="B28" i="2"/>
  <c r="A31" i="2"/>
  <c r="A30" i="2"/>
  <c r="A29" i="2"/>
  <c r="A28" i="2"/>
  <c r="B26" i="2"/>
  <c r="B25" i="2"/>
  <c r="B24" i="2"/>
  <c r="B23" i="2"/>
  <c r="A26" i="2"/>
  <c r="A25" i="2"/>
  <c r="A24" i="2"/>
  <c r="A23" i="2"/>
  <c r="S11" i="2"/>
  <c r="B21" i="2"/>
  <c r="A21" i="2"/>
  <c r="B20" i="2"/>
  <c r="A20" i="2"/>
  <c r="B19" i="2"/>
  <c r="A19" i="2"/>
  <c r="B18" i="2"/>
  <c r="A18" i="2"/>
  <c r="T12" i="2" s="1" a="1"/>
  <c r="S10" i="2"/>
  <c r="O9" i="8" l="1"/>
  <c r="O10" i="8"/>
  <c r="O6" i="8"/>
  <c r="O5" i="8"/>
  <c r="O12" i="8"/>
  <c r="O13" i="8"/>
  <c r="O13" i="3"/>
  <c r="O12" i="3"/>
  <c r="O11" i="3"/>
  <c r="O10" i="3"/>
  <c r="O9" i="3"/>
  <c r="O8" i="3"/>
  <c r="O7" i="3"/>
  <c r="O6" i="3"/>
  <c r="O5" i="3"/>
  <c r="O3" i="3"/>
  <c r="O12" i="7"/>
  <c r="O11" i="7"/>
  <c r="O10" i="7"/>
  <c r="O8" i="7"/>
  <c r="O7" i="7"/>
  <c r="O6" i="7"/>
  <c r="O4" i="7"/>
  <c r="T12" i="2"/>
  <c r="W10" i="2"/>
  <c r="U12" i="2" a="1"/>
  <c r="U12" i="2" s="1"/>
  <c r="AA12" i="2" s="1"/>
  <c r="V12" i="2" a="1"/>
  <c r="V12" i="2" s="1"/>
  <c r="X12" i="2"/>
  <c r="W12" i="2"/>
  <c r="X10" i="2"/>
  <c r="Z10" i="2" s="1"/>
  <c r="W11" i="2"/>
  <c r="X11" i="2"/>
  <c r="V10" i="2" a="1"/>
  <c r="V10" i="2" s="1"/>
  <c r="U11" i="2" a="1"/>
  <c r="U11" i="2" s="1"/>
  <c r="AA11" i="2" s="1"/>
  <c r="V11" i="2" a="1"/>
  <c r="V11" i="2" s="1"/>
  <c r="T11" i="2" a="1"/>
  <c r="T11" i="2" s="1"/>
  <c r="U10" i="2" a="1"/>
  <c r="U10" i="2" s="1"/>
  <c r="AA10" i="2" s="1"/>
  <c r="T10" i="2" a="1"/>
  <c r="T10" i="2" s="1"/>
  <c r="Z11" i="2" l="1"/>
  <c r="Z12" i="2"/>
  <c r="Y12" i="2"/>
  <c r="Y10" i="2"/>
  <c r="AB10" i="2" s="1"/>
  <c r="Y11" i="2"/>
  <c r="AB11" i="2" s="1"/>
  <c r="S9" i="2"/>
  <c r="S8" i="2"/>
  <c r="S7" i="2"/>
  <c r="S6" i="2"/>
  <c r="W6" i="2" s="1"/>
  <c r="S5" i="2"/>
  <c r="S4" i="2"/>
  <c r="W4" i="2" s="1"/>
  <c r="S3" i="2"/>
  <c r="AB12" i="2" l="1"/>
  <c r="V8" i="2" a="1"/>
  <c r="V8" i="2" s="1"/>
  <c r="V6" i="2" a="1"/>
  <c r="V6" i="2" s="1"/>
  <c r="W7" i="2"/>
  <c r="T8" i="2" a="1"/>
  <c r="T8" i="2" s="1"/>
  <c r="U4" i="2" a="1"/>
  <c r="U4" i="2" s="1"/>
  <c r="AA4" i="2" s="1"/>
  <c r="U3" i="2" a="1"/>
  <c r="U3" i="2" s="1"/>
  <c r="AA3" i="2" s="1"/>
  <c r="W3" i="2"/>
  <c r="T4" i="2" a="1"/>
  <c r="T4" i="2" s="1"/>
  <c r="U8" i="2" a="1"/>
  <c r="U8" i="2" s="1"/>
  <c r="AA8" i="2" s="1"/>
  <c r="V9" i="2" a="1"/>
  <c r="V9" i="2" s="1"/>
  <c r="T5" i="2" a="1"/>
  <c r="T5" i="2" s="1"/>
  <c r="U6" i="2" a="1"/>
  <c r="U6" i="2" s="1"/>
  <c r="AA6" i="2" s="1"/>
  <c r="V3" i="2" a="1"/>
  <c r="V3" i="2" s="1"/>
  <c r="X4" i="2"/>
  <c r="U5" i="2" a="1"/>
  <c r="U5" i="2" s="1"/>
  <c r="AA5" i="2" s="1"/>
  <c r="T7" i="2" a="1"/>
  <c r="T7" i="2" s="1"/>
  <c r="W9" i="2"/>
  <c r="T9" i="2" a="1"/>
  <c r="T9" i="2" s="1"/>
  <c r="X7" i="2"/>
  <c r="Z7" i="2" s="1"/>
  <c r="V5" i="2" a="1"/>
  <c r="V5" i="2" s="1"/>
  <c r="X6" i="2"/>
  <c r="U7" i="2" a="1"/>
  <c r="U7" i="2" s="1"/>
  <c r="AA7" i="2" s="1"/>
  <c r="X3" i="2"/>
  <c r="Z3" i="2" s="1"/>
  <c r="T6" i="2" a="1"/>
  <c r="T6" i="2" s="1"/>
  <c r="W8" i="2"/>
  <c r="T3" i="2" a="1"/>
  <c r="T3" i="2" s="1"/>
  <c r="W5" i="2"/>
  <c r="V7" i="2" a="1"/>
  <c r="V7" i="2" s="1"/>
  <c r="X8" i="2"/>
  <c r="Z8" i="2" s="1"/>
  <c r="U9" i="2" a="1"/>
  <c r="U9" i="2" s="1"/>
  <c r="AA9" i="2" s="1"/>
  <c r="V4" i="2" a="1"/>
  <c r="V4" i="2" s="1"/>
  <c r="X5" i="2"/>
  <c r="X9" i="2"/>
  <c r="Z9" i="2" s="1"/>
  <c r="Z5" i="2" l="1"/>
  <c r="Y4" i="2"/>
  <c r="Z4" i="2"/>
  <c r="Y6" i="2"/>
  <c r="Z6" i="2"/>
  <c r="Y3" i="2"/>
  <c r="AB3" i="2" s="1"/>
  <c r="Y7" i="2"/>
  <c r="AB7" i="2" s="1"/>
  <c r="Y5" i="2"/>
  <c r="Y8" i="2"/>
  <c r="AB8" i="2" s="1"/>
  <c r="Y9" i="2"/>
  <c r="AB9" i="2" s="1"/>
  <c r="AB5" i="2" l="1"/>
  <c r="AB4" i="2"/>
  <c r="AB6" i="2"/>
  <c r="AC6" i="2" l="1"/>
  <c r="AC4" i="2"/>
  <c r="AC9" i="2"/>
  <c r="AC8" i="2"/>
  <c r="AC5" i="2"/>
  <c r="AC7" i="2"/>
  <c r="AC3" i="2"/>
  <c r="AC11" i="2"/>
  <c r="AC10" i="2"/>
  <c r="AC12" i="2"/>
  <c r="H12" i="2" l="1"/>
  <c r="H11" i="2"/>
  <c r="I11" i="2" s="1"/>
  <c r="H10" i="2"/>
  <c r="I10" i="2" s="1"/>
  <c r="H9" i="2"/>
  <c r="P9" i="2" s="1"/>
  <c r="H8" i="2"/>
  <c r="P8" i="2" s="1"/>
  <c r="H7" i="2"/>
  <c r="P7" i="2" s="1"/>
  <c r="H6" i="2"/>
  <c r="L6" i="2" s="1"/>
  <c r="H5" i="2"/>
  <c r="P5" i="2" s="1"/>
  <c r="H4" i="2"/>
  <c r="L4" i="2" s="1"/>
  <c r="H3" i="2"/>
  <c r="J3" i="2" s="1"/>
  <c r="M6" i="2" l="1"/>
  <c r="O6" i="2" s="1"/>
  <c r="P6" i="2"/>
  <c r="I6" i="2"/>
  <c r="N6" i="2"/>
  <c r="K6" i="2"/>
  <c r="J6" i="2"/>
  <c r="K3" i="2"/>
  <c r="P3" i="2"/>
  <c r="N8" i="2"/>
  <c r="N4" i="2"/>
  <c r="I9" i="2"/>
  <c r="L8" i="2"/>
  <c r="I8" i="2"/>
  <c r="K4" i="2"/>
  <c r="M4" i="2"/>
  <c r="O4" i="2" s="1"/>
  <c r="L7" i="2"/>
  <c r="M11" i="2"/>
  <c r="N7" i="2"/>
  <c r="M7" i="2"/>
  <c r="O7" i="2" s="1"/>
  <c r="K11" i="2"/>
  <c r="N3" i="2"/>
  <c r="J11" i="2"/>
  <c r="J7" i="2"/>
  <c r="I3" i="2"/>
  <c r="L3" i="2"/>
  <c r="L11" i="2"/>
  <c r="I7" i="2"/>
  <c r="K7" i="2"/>
  <c r="M3" i="2"/>
  <c r="O3" i="2" s="1"/>
  <c r="N11" i="2"/>
  <c r="P11" i="2"/>
  <c r="M10" i="2"/>
  <c r="N10" i="2"/>
  <c r="J10" i="2"/>
  <c r="M8" i="2"/>
  <c r="O8" i="2" s="1"/>
  <c r="P4" i="2"/>
  <c r="L10" i="2"/>
  <c r="K10" i="2"/>
  <c r="P10" i="2"/>
  <c r="J8" i="2"/>
  <c r="J4" i="2"/>
  <c r="N9" i="2"/>
  <c r="K8" i="2"/>
  <c r="I4" i="2"/>
  <c r="L5" i="2"/>
  <c r="M9" i="2"/>
  <c r="J5" i="2"/>
  <c r="M5" i="2"/>
  <c r="O5" i="2" s="1"/>
  <c r="K5" i="2"/>
  <c r="I5" i="2"/>
  <c r="J9" i="2"/>
  <c r="K9" i="2"/>
  <c r="N5" i="2"/>
  <c r="L9" i="2"/>
  <c r="P12" i="2"/>
  <c r="N12" i="2"/>
  <c r="M12" i="2"/>
  <c r="J12" i="2"/>
  <c r="I12" i="2"/>
  <c r="L12" i="2"/>
  <c r="K12" i="2"/>
  <c r="O9" i="2" l="1"/>
  <c r="O10" i="2"/>
  <c r="O11" i="2"/>
  <c r="O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<sst xmlns="http://schemas.openxmlformats.org/spreadsheetml/2006/main" count="685" uniqueCount="113">
  <si>
    <t>Grupa A</t>
  </si>
  <si>
    <t>Skończona</t>
  </si>
  <si>
    <t>Zespół</t>
  </si>
  <si>
    <t>GRY</t>
  </si>
  <si>
    <t>WYGRANE</t>
  </si>
  <si>
    <t>PRZEGRANE</t>
  </si>
  <si>
    <t>ZDOBYTE</t>
  </si>
  <si>
    <t>STRACONE</t>
  </si>
  <si>
    <t>RÓŻNICA</t>
  </si>
  <si>
    <t>STOSUNEK</t>
  </si>
  <si>
    <t>PUNKTY</t>
  </si>
  <si>
    <t>W</t>
  </si>
  <si>
    <t>P</t>
  </si>
  <si>
    <t>ZD</t>
  </si>
  <si>
    <t>ST</t>
  </si>
  <si>
    <t>R</t>
  </si>
  <si>
    <t>S</t>
  </si>
  <si>
    <t>rank</t>
  </si>
  <si>
    <t>pozycja</t>
  </si>
  <si>
    <t>AT RADOM 1</t>
  </si>
  <si>
    <t>UKS LESZNOWOLA 2</t>
  </si>
  <si>
    <t>ISKRA WARSZAWA 4</t>
  </si>
  <si>
    <t>ORLĘTA RASZYN 1</t>
  </si>
  <si>
    <t>MOS WOLA 1</t>
  </si>
  <si>
    <t>ASTW 1</t>
  </si>
  <si>
    <t>G-8 BIELANY 2</t>
  </si>
  <si>
    <t>METRO WARSZAWA 2</t>
  </si>
  <si>
    <t>G-8 BIELANY 1</t>
  </si>
  <si>
    <t>METRO WARSZAWA 1</t>
  </si>
  <si>
    <t>HOME</t>
  </si>
  <si>
    <t>VISITOR</t>
  </si>
  <si>
    <t>:</t>
  </si>
  <si>
    <t xml:space="preserve"> </t>
  </si>
  <si>
    <t>Grupa B</t>
  </si>
  <si>
    <t>VOLLEY RADZIEJOWICE 2</t>
  </si>
  <si>
    <t>VOLLEY RADZIEJOWICE 6</t>
  </si>
  <si>
    <t>METRO WARSZAWA 3</t>
  </si>
  <si>
    <t>VOLLEY RADZIEJOWICE 3</t>
  </si>
  <si>
    <t>UKS LESZNOWOLA 1</t>
  </si>
  <si>
    <t>RCS RADOM 5</t>
  </si>
  <si>
    <t>AT RADOM 2</t>
  </si>
  <si>
    <t>VOLLEY RADZIEJOWICE 1</t>
  </si>
  <si>
    <t>METRO WARSZAWA 4</t>
  </si>
  <si>
    <t>RCS RADOM 2</t>
  </si>
  <si>
    <t>Grupa C</t>
  </si>
  <si>
    <t>VOLLEY RADZIEJOWICE 4</t>
  </si>
  <si>
    <t>SASKA WARSZAWA 2</t>
  </si>
  <si>
    <t>METRO WARSZAWA 5</t>
  </si>
  <si>
    <t>SPARTA GRODZISK MAZ. 2</t>
  </si>
  <si>
    <t>LOS NOWY DWÓR MAZ. 1</t>
  </si>
  <si>
    <t>ISKRA WARSZAWA 11</t>
  </si>
  <si>
    <t>MOS WOLA 2</t>
  </si>
  <si>
    <t>SPARTA GRODZISK MAZ. 1</t>
  </si>
  <si>
    <t>VOLLEY RADZIEJOWICE 5</t>
  </si>
  <si>
    <t>LOS NOWY DWÓR MAZ. 2</t>
  </si>
  <si>
    <t>Grupa D</t>
  </si>
  <si>
    <t>KPS PŁOCK 1</t>
  </si>
  <si>
    <t>SASKA WARSZAWA 1</t>
  </si>
  <si>
    <t>RCS RADOM 3</t>
  </si>
  <si>
    <t>PERŁA ZŁOTOKŁOS 1</t>
  </si>
  <si>
    <t>ISKRA WARSZAWA 5</t>
  </si>
  <si>
    <t>VOLLEY RADZIEJOWICE 7</t>
  </si>
  <si>
    <t>OLIMP TŁUSZCZ 1</t>
  </si>
  <si>
    <t>UKS LESZNOWOLA 5</t>
  </si>
  <si>
    <t>VOLLEY RADZIEJOWICE 8</t>
  </si>
  <si>
    <t>UKS LESZNOWOLA 4</t>
  </si>
  <si>
    <t>Grupa E</t>
  </si>
  <si>
    <t>LEGIA WARSZAWA 1</t>
  </si>
  <si>
    <t>G-8 BIELANY 3</t>
  </si>
  <si>
    <t>RCS RADOM 1</t>
  </si>
  <si>
    <t>ISKRA WARSZAWA 7</t>
  </si>
  <si>
    <t>UKS LESZNOWOLA 7</t>
  </si>
  <si>
    <t>ORLĘTA RASZYN 6</t>
  </si>
  <si>
    <t>ORLĘTA RASZYN 2</t>
  </si>
  <si>
    <t>ISKRA WARSZAWA 9</t>
  </si>
  <si>
    <t>VOLLEY RADZIEJOWICE 10</t>
  </si>
  <si>
    <t>ORLĘTA RASZYN 5</t>
  </si>
  <si>
    <t>ISKRA WARSZAWA 6</t>
  </si>
  <si>
    <t>Grupa F</t>
  </si>
  <si>
    <t>RCS RADOM 4</t>
  </si>
  <si>
    <t>GLKS NADARZYN 4</t>
  </si>
  <si>
    <t>ISKRA WARSZAWA 3</t>
  </si>
  <si>
    <t>UKS LESZNOWOLA 3</t>
  </si>
  <si>
    <t>ISKRA WARSZAWA 1</t>
  </si>
  <si>
    <t>UKS LESZNOWOLA 6</t>
  </si>
  <si>
    <t>ISKRA WARSZAWA 2</t>
  </si>
  <si>
    <t>ORLĘTA RASZYN 3</t>
  </si>
  <si>
    <t>SPARTA GRODZISK MAZ. 7</t>
  </si>
  <si>
    <t>SPARTA GRODZISK MAZ. 3</t>
  </si>
  <si>
    <t>LEN ŻYRARDÓW 1</t>
  </si>
  <si>
    <t>Grupa G</t>
  </si>
  <si>
    <t>GLKS NADARZYN 1</t>
  </si>
  <si>
    <t>SPARTA GRODZISK MAZ. 8</t>
  </si>
  <si>
    <t>GLKS NADARZYN 8</t>
  </si>
  <si>
    <t>GLKS NADARZYN 6</t>
  </si>
  <si>
    <t>GLKS NADARZYN 9</t>
  </si>
  <si>
    <t>SPARTA GRODZISK MAZ. 5</t>
  </si>
  <si>
    <t>VOLLEY RADZIEJOWICE 11</t>
  </si>
  <si>
    <t>GLKS NADARZYN 2</t>
  </si>
  <si>
    <t>VOLLEY RADZIEJOWICE 9</t>
  </si>
  <si>
    <t>GLKS NADARZYN 3</t>
  </si>
  <si>
    <t>ISKRA WARSZAWA 8</t>
  </si>
  <si>
    <t>Grupa H</t>
  </si>
  <si>
    <t>RCS RADOM 6</t>
  </si>
  <si>
    <t>ISKRA WARSZAWA 10</t>
  </si>
  <si>
    <t>GLKS NADARZYN 7</t>
  </si>
  <si>
    <t>SPARTA GRODZISK MAZ. 6</t>
  </si>
  <si>
    <t>SPARTA GRODZISK MAZ. 4</t>
  </si>
  <si>
    <t>ORLĘTA RASZYN 4</t>
  </si>
  <si>
    <t>LEN ŻYRARDÓW 3</t>
  </si>
  <si>
    <t>GLKS NADARZYN 5</t>
  </si>
  <si>
    <t>LEN ŻYRARDÓW 2</t>
  </si>
  <si>
    <t>ORLĘTA RASZYN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</si>
</sst>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1" xfId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3" xfId="1" applyBorder="1" applyAlignment="1">
      <alignment horizontal="center"/>
    </xf>
    <xf numFmtId="0" fontId="3" fillId="0" borderId="5" xfId="1" applyFont="1" applyBorder="1"/>
    <xf numFmtId="0" fontId="5" fillId="0" borderId="0" xfId="1" applyFont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6" fillId="0" borderId="7" xfId="1" applyFont="1" applyBorder="1"/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9" xfId="1" applyBorder="1"/>
    <xf numFmtId="0" fontId="6" fillId="0" borderId="0" xfId="1" applyFont="1"/>
    <xf numFmtId="0" fontId="0" fillId="0" borderId="5" xfId="0" applyBorder="1"/>
    <xf numFmtId="164" fontId="2" fillId="0" borderId="6" xfId="1" applyNumberFormat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6" fillId="0" borderId="10" xfId="1" applyFont="1" applyBorder="1"/>
    <xf numFmtId="0" fontId="4" fillId="0" borderId="0" xfId="2" applyFont="1"/>
    <xf numFmtId="0" fontId="1" fillId="0" borderId="0" xfId="2"/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11" xfId="2" applyBorder="1" applyAlignment="1">
      <alignment horizontal="center"/>
    </xf>
    <xf numFmtId="0" fontId="3" fillId="0" borderId="5" xfId="2" applyFont="1" applyBorder="1"/>
    <xf numFmtId="0" fontId="5" fillId="0" borderId="0" xfId="2" applyFont="1"/>
    <xf numFmtId="0" fontId="1" fillId="0" borderId="5" xfId="2" applyBorder="1" applyAlignment="1">
      <alignment horizontal="center"/>
    </xf>
    <xf numFmtId="164" fontId="1" fillId="0" borderId="6" xfId="2" applyNumberFormat="1" applyBorder="1" applyAlignment="1">
      <alignment horizontal="center"/>
    </xf>
    <xf numFmtId="0" fontId="1" fillId="0" borderId="6" xfId="2" applyBorder="1" applyAlignment="1">
      <alignment horizontal="center"/>
    </xf>
    <xf numFmtId="0" fontId="6" fillId="0" borderId="7" xfId="2" applyFont="1" applyBorder="1"/>
    <xf numFmtId="0" fontId="1" fillId="0" borderId="8" xfId="2" applyBorder="1" applyAlignment="1">
      <alignment horizontal="center"/>
    </xf>
    <xf numFmtId="0" fontId="1" fillId="0" borderId="9" xfId="2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9" xfId="2" applyBorder="1"/>
    <xf numFmtId="0" fontId="1" fillId="0" borderId="5" xfId="2" applyBorder="1"/>
    <xf numFmtId="0" fontId="6" fillId="0" borderId="0" xfId="2" applyFont="1"/>
    <xf numFmtId="0" fontId="6" fillId="0" borderId="10" xfId="2" applyFont="1" applyBorder="1"/>
    <xf numFmtId="0" fontId="1" fillId="0" borderId="5" xfId="1" applyFont="1" applyBorder="1"/>
  </cellXfs>
  <cellStyles count="3">
    <cellStyle name="Normalny" xfId="0" builtinId="0"/>
    <cellStyle name="Normalny 2" xfId="1" xr:uid="{F213B1DB-FF04-40C4-80B2-E9E34C6251CD}"/>
    <cellStyle name="Normalny 2 2" xfId="2" xr:uid="{AD82445A-1F40-4671-9D25-DC0FB1D9A7E6}"/>
  </cellStyles>
  <dxfs count="104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678BB1-9251-49F9-8053-D5D0D5D5CAF5}" name="Tabela1" displayName="Tabela1" ref="H2:P12" totalsRowShown="0" headerRowDxfId="103" headerRowBorderDxfId="101" tableBorderDxfId="102" totalsRowBorderDxfId="100">
  <tableColumns count="9">
    <tableColumn id="1" xr3:uid="{A26DD3F5-6D88-4694-973D-C90C84E0219E}" name="Zespół" dataDxfId="99" dataCellStyle="Normalny 2"/>
    <tableColumn id="2" xr3:uid="{3D35D4F1-F886-4AF3-8031-CEFDB316AFF2}" name="GRY" dataDxfId="98">
      <calculatedColumnFormula>VLOOKUP($H3,$S$3:$AA$12,2,0)</calculatedColumnFormula>
    </tableColumn>
    <tableColumn id="3" xr3:uid="{73FFDEA9-DC3F-484F-A3C8-34A868C5A75C}" name="WYGRANE" dataDxfId="97">
      <calculatedColumnFormula>VLOOKUP($H3,$S$3:$AA$12,3,0)</calculatedColumnFormula>
    </tableColumn>
    <tableColumn id="4" xr3:uid="{91910A1A-9154-46B5-974A-9EF33D8EE987}" name="PRZEGRANE" dataDxfId="96">
      <calculatedColumnFormula>VLOOKUP($H3,$S$3:$AA$12,4,0)</calculatedColumnFormula>
    </tableColumn>
    <tableColumn id="5" xr3:uid="{B506F7ED-1DE1-466B-8A82-BE94FA766C62}" name="ZDOBYTE" dataDxfId="95">
      <calculatedColumnFormula>VLOOKUP($H3,$S$3:$AA$12,5,0)</calculatedColumnFormula>
    </tableColumn>
    <tableColumn id="6" xr3:uid="{B2040FAE-FC78-43EC-8D60-E822F3628176}" name="STRACONE" dataDxfId="94">
      <calculatedColumnFormula>VLOOKUP($H3,$S$3:$AA$12,6,0)</calculatedColumnFormula>
    </tableColumn>
    <tableColumn id="7" xr3:uid="{8D7B1567-09D8-4681-82B2-20DDA17CCA7F}" name="RÓŻNICA" dataDxfId="93">
      <calculatedColumnFormula>VLOOKUP($H3,$S$3:$AA$12,7,0)</calculatedColumnFormula>
    </tableColumn>
    <tableColumn id="10" xr3:uid="{89F03853-2590-0C4C-887F-C2DA44F33382}" name="STOSUNEK" dataDxfId="92" dataCellStyle="Normalny 2">
      <calculatedColumnFormula>IF(Tabela1[[#This Row],[STRACONE]]=0,0,Tabela1[[#This Row],[ZDOBYTE]]/Tabela1[[#This Row],[STRACONE]])</calculatedColumnFormula>
    </tableColumn>
    <tableColumn id="8" xr3:uid="{96C54D4F-EC70-4946-9ED2-7BA34DE067F8}" name="PUNKTY" dataDxfId="91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A67717-BF4C-4942-8AEE-DE4FF27E6F61}" name="Tabela14" displayName="Tabela14" ref="H2:P12" totalsRowShown="0" headerRowDxfId="90" headerRowBorderDxfId="88" tableBorderDxfId="89" totalsRowBorderDxfId="87">
  <tableColumns count="9">
    <tableColumn id="1" xr3:uid="{F90F334A-C66E-46BB-BDDC-F842F6BAAA6F}" name="Zespół" dataDxfId="86" dataCellStyle="Normalny 2"/>
    <tableColumn id="2" xr3:uid="{235523F6-A865-4045-82FC-A63CC098A201}" name="GRY" dataDxfId="85">
      <calculatedColumnFormula>VLOOKUP($H3,$S$3:$AA$12,2,0)</calculatedColumnFormula>
    </tableColumn>
    <tableColumn id="3" xr3:uid="{F0257FD5-87DA-4549-A82D-FB9F3B82D9EE}" name="WYGRANE" dataDxfId="84">
      <calculatedColumnFormula>VLOOKUP($H3,$S$3:$AA$12,3,0)</calculatedColumnFormula>
    </tableColumn>
    <tableColumn id="4" xr3:uid="{40604E25-AC63-4016-BD99-B9429F3F73CA}" name="PRZEGRANE" dataDxfId="83">
      <calculatedColumnFormula>VLOOKUP($H3,$S$3:$AA$12,4,0)</calculatedColumnFormula>
    </tableColumn>
    <tableColumn id="5" xr3:uid="{A0A4427C-93EE-4C17-B5BC-85CE2E7F822F}" name="ZDOBYTE" dataDxfId="82">
      <calculatedColumnFormula>VLOOKUP($H3,$S$3:$AA$12,5,0)</calculatedColumnFormula>
    </tableColumn>
    <tableColumn id="6" xr3:uid="{9927C232-6800-4DA0-8640-6C4835A5B0C0}" name="STRACONE" dataDxfId="81">
      <calculatedColumnFormula>VLOOKUP($H3,$S$3:$AA$12,6,0)</calculatedColumnFormula>
    </tableColumn>
    <tableColumn id="7" xr3:uid="{8C9F165B-1ABB-4115-9BD8-628D4365C415}" name="RÓŻNICA" dataDxfId="80">
      <calculatedColumnFormula>VLOOKUP($H3,$S$3:$AA$12,7,0)</calculatedColumnFormula>
    </tableColumn>
    <tableColumn id="10" xr3:uid="{1115ECBC-8EC8-40D7-84F5-32D043495527}" name="STOSUNEK" dataDxfId="79" dataCellStyle="Normalny 2">
      <calculatedColumnFormula>IF(Tabela14[[#This Row],[STRACONE]]=0,0,Tabela14[[#This Row],[ZDOBYTE]]/Tabela14[[#This Row],[STRACONE]])</calculatedColumnFormula>
    </tableColumn>
    <tableColumn id="8" xr3:uid="{8A9D4D6D-24CB-41BA-BA27-8C96B8C4FBE6}" name="PUNKTY" dataDxfId="78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59D50E-4F2B-47AD-981F-F4BBC298AF6E}" name="Tabela145" displayName="Tabela145" ref="H2:P12" totalsRowShown="0" headerRowDxfId="77" headerRowBorderDxfId="75" tableBorderDxfId="76" totalsRowBorderDxfId="74">
  <tableColumns count="9">
    <tableColumn id="1" xr3:uid="{0952E8FB-6F8B-4406-B3D7-A5CC1AABF1D6}" name="Zespół" dataDxfId="73" dataCellStyle="Normalny 2"/>
    <tableColumn id="2" xr3:uid="{9DADBBA6-0617-4F34-AF23-515BEAB7E279}" name="GRY" dataDxfId="72">
      <calculatedColumnFormula>VLOOKUP($H3,$S$3:$AA$12,2,0)</calculatedColumnFormula>
    </tableColumn>
    <tableColumn id="3" xr3:uid="{972DB899-71B1-47AF-A4A1-01A160C4C9EE}" name="WYGRANE" dataDxfId="71">
      <calculatedColumnFormula>VLOOKUP($H3,$S$3:$AA$12,3,0)</calculatedColumnFormula>
    </tableColumn>
    <tableColumn id="4" xr3:uid="{B2DABC1D-33E1-41A5-B1BC-63A41C7601D1}" name="PRZEGRANE" dataDxfId="70">
      <calculatedColumnFormula>VLOOKUP($H3,$S$3:$AA$12,4,0)</calculatedColumnFormula>
    </tableColumn>
    <tableColumn id="5" xr3:uid="{45C3CC2D-8E75-418F-9D57-A3F4F5A45B2F}" name="ZDOBYTE" dataDxfId="69">
      <calculatedColumnFormula>VLOOKUP($H3,$S$3:$AA$12,5,0)</calculatedColumnFormula>
    </tableColumn>
    <tableColumn id="6" xr3:uid="{8CEAF56A-605C-40C0-A481-A8C2708575F1}" name="STRACONE" dataDxfId="68">
      <calculatedColumnFormula>VLOOKUP($H3,$S$3:$AA$12,6,0)</calculatedColumnFormula>
    </tableColumn>
    <tableColumn id="7" xr3:uid="{4BAC61D3-4E39-4FEC-84B3-0DDBE86DD581}" name="RÓŻNICA" dataDxfId="67">
      <calculatedColumnFormula>VLOOKUP($H3,$S$3:$AA$12,7,0)</calculatedColumnFormula>
    </tableColumn>
    <tableColumn id="10" xr3:uid="{F5301AA7-9EF8-4812-B7CA-5D255D19A71A}" name="STOSUNEK" dataDxfId="66" dataCellStyle="Normalny 2">
      <calculatedColumnFormula>IF(Tabela145[[#This Row],[STRACONE]]=0,0,Tabela145[[#This Row],[ZDOBYTE]]/Tabela145[[#This Row],[STRACONE]])</calculatedColumnFormula>
    </tableColumn>
    <tableColumn id="8" xr3:uid="{11FF1941-ECE0-45AE-AC51-894A5E2DC716}" name="PUNKTY" dataDxfId="65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64DEFA-2C43-4676-88F1-0D28072FB070}" name="Tabela1456" displayName="Tabela1456" ref="H2:P12" totalsRowShown="0" headerRowDxfId="64" headerRowBorderDxfId="62" tableBorderDxfId="63" totalsRowBorderDxfId="61">
  <tableColumns count="9">
    <tableColumn id="1" xr3:uid="{A7CEB231-1AC6-4523-9F85-AD4256F0E8D9}" name="Zespół" dataDxfId="60" dataCellStyle="Normalny 2"/>
    <tableColumn id="2" xr3:uid="{674EA1ED-7089-4FEF-9CB1-E05014B7FE02}" name="GRY" dataDxfId="59">
      <calculatedColumnFormula>VLOOKUP($H3,$S$3:$AA$12,2,0)</calculatedColumnFormula>
    </tableColumn>
    <tableColumn id="3" xr3:uid="{972464A4-F780-4D04-9D8C-C61178F5F192}" name="WYGRANE" dataDxfId="58">
      <calculatedColumnFormula>VLOOKUP($H3,$S$3:$AA$12,3,0)</calculatedColumnFormula>
    </tableColumn>
    <tableColumn id="4" xr3:uid="{D6906D8E-9E16-47D3-90D6-950C034848A1}" name="PRZEGRANE" dataDxfId="57">
      <calculatedColumnFormula>VLOOKUP($H3,$S$3:$AA$12,4,0)</calculatedColumnFormula>
    </tableColumn>
    <tableColumn id="5" xr3:uid="{55E869E5-C8AD-4F6C-9039-299C5D274B7B}" name="ZDOBYTE" dataDxfId="56">
      <calculatedColumnFormula>VLOOKUP($H3,$S$3:$AA$12,5,0)</calculatedColumnFormula>
    </tableColumn>
    <tableColumn id="6" xr3:uid="{6D068B4F-34B3-4551-8D2C-361CEFFE50C6}" name="STRACONE" dataDxfId="55">
      <calculatedColumnFormula>VLOOKUP($H3,$S$3:$AA$12,6,0)</calculatedColumnFormula>
    </tableColumn>
    <tableColumn id="7" xr3:uid="{D5944BB9-C6B2-44C2-A581-9989DEC2FE1D}" name="RÓŻNICA" dataDxfId="54">
      <calculatedColumnFormula>VLOOKUP($H3,$S$3:$AA$12,7,0)</calculatedColumnFormula>
    </tableColumn>
    <tableColumn id="10" xr3:uid="{602EB455-7984-4C48-8169-72F66A27BA99}" name="STOSUNEK" dataDxfId="53" dataCellStyle="Normalny 2">
      <calculatedColumnFormula>IF(Tabela1456[[#This Row],[STRACONE]]=0,0,Tabela1456[[#This Row],[ZDOBYTE]]/Tabela1456[[#This Row],[STRACONE]])</calculatedColumnFormula>
    </tableColumn>
    <tableColumn id="8" xr3:uid="{467215EF-1FE2-4277-9332-5E66E4B32B59}" name="PUNKTY" dataDxfId="52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CC5E73-999B-4CF0-B43A-701706B43CD4}" name="Tabela13" displayName="Tabela13" ref="H2:P13" totalsRowShown="0" headerRowDxfId="51" headerRowBorderDxfId="49" tableBorderDxfId="50" totalsRowBorderDxfId="48">
  <tableColumns count="9">
    <tableColumn id="1" xr3:uid="{6C855886-D6FC-4134-A42E-7EAB64E3219B}" name="Zespół" dataDxfId="47" dataCellStyle="Normalny 2"/>
    <tableColumn id="2" xr3:uid="{E6DB0710-5C27-423D-A20D-E90E9ACB90EC}" name="GRY" dataDxfId="46">
      <calculatedColumnFormula>VLOOKUP($H3,$S$3:$AA$13,2,0)</calculatedColumnFormula>
    </tableColumn>
    <tableColumn id="3" xr3:uid="{46B64A3E-5DA5-4525-BBFA-42F2EBE5242D}" name="WYGRANE" dataDxfId="45">
      <calculatedColumnFormula>VLOOKUP($H3,$S$3:$AA$13,3,0)</calculatedColumnFormula>
    </tableColumn>
    <tableColumn id="4" xr3:uid="{76C0B815-B2CF-4F9E-B698-FEB26183C0FC}" name="PRZEGRANE" dataDxfId="44">
      <calculatedColumnFormula>VLOOKUP($H3,$S$3:$AA$13,4,0)</calculatedColumnFormula>
    </tableColumn>
    <tableColumn id="5" xr3:uid="{52CA3968-B2A8-4ED8-9FA9-2A950370276C}" name="ZDOBYTE" dataDxfId="43">
      <calculatedColumnFormula>VLOOKUP($H3,$S$3:$AA$13,5,0)</calculatedColumnFormula>
    </tableColumn>
    <tableColumn id="6" xr3:uid="{517F150D-57C2-48BA-96C4-47A593F06795}" name="STRACONE" dataDxfId="42">
      <calculatedColumnFormula>VLOOKUP($H3,$S$3:$AA$13,6,0)</calculatedColumnFormula>
    </tableColumn>
    <tableColumn id="7" xr3:uid="{13C69BA0-312C-40DC-89FC-9B2DB103985C}" name="RÓŻNICA" dataDxfId="41">
      <calculatedColumnFormula>VLOOKUP($H3,$S$3:$AA$13,7,0)</calculatedColumnFormula>
    </tableColumn>
    <tableColumn id="10" xr3:uid="{F22C7414-8029-429A-8B35-611E300D2615}" name="STOSUNEK" dataDxfId="40" dataCellStyle="Normalny 2">
      <calculatedColumnFormula>IF(Tabela13[[#This Row],[STRACONE]]=0,0,Tabela13[[#This Row],[ZDOBYTE]]/Tabela13[[#This Row],[STRACONE]])</calculatedColumnFormula>
    </tableColumn>
    <tableColumn id="8" xr3:uid="{68E0233C-6990-4BEC-AC75-FA27F7A01DAB}" name="PUNKTY" dataDxfId="39">
      <calculatedColumnFormula>VLOOKUP($H3,$S$3:$AB$13,9,0)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A8FDE9-3302-467C-BCEE-211159CE36BD}" name="Tabela137" displayName="Tabela137" ref="H2:P13" totalsRowShown="0" headerRowDxfId="38" headerRowBorderDxfId="36" tableBorderDxfId="37" totalsRowBorderDxfId="35">
  <tableColumns count="9">
    <tableColumn id="1" xr3:uid="{CCBF260E-E6E0-45AE-962C-A8F07BA33D0F}" name="Zespół" dataDxfId="34" dataCellStyle="Normalny 2"/>
    <tableColumn id="2" xr3:uid="{9C23E8C5-A7C4-418C-89B1-55B71072E948}" name="GRY" dataDxfId="33">
      <calculatedColumnFormula>VLOOKUP($H3,$S$3:$AA$13,2,0)</calculatedColumnFormula>
    </tableColumn>
    <tableColumn id="3" xr3:uid="{AE2262A3-786B-456F-9EB8-9973D94CDC8F}" name="WYGRANE" dataDxfId="32">
      <calculatedColumnFormula>VLOOKUP($H3,$S$3:$AA$13,3,0)</calculatedColumnFormula>
    </tableColumn>
    <tableColumn id="4" xr3:uid="{1114F146-BA3A-4D9C-8F16-A05CF073E314}" name="PRZEGRANE" dataDxfId="31">
      <calculatedColumnFormula>VLOOKUP($H3,$S$3:$AA$13,4,0)</calculatedColumnFormula>
    </tableColumn>
    <tableColumn id="5" xr3:uid="{876F68E9-DA57-41D5-B064-B2DC41ACAC29}" name="ZDOBYTE" dataDxfId="30">
      <calculatedColumnFormula>VLOOKUP($H3,$S$3:$AA$13,5,0)</calculatedColumnFormula>
    </tableColumn>
    <tableColumn id="6" xr3:uid="{F34E3C64-B089-4ADA-BBC7-955B50A06508}" name="STRACONE" dataDxfId="29">
      <calculatedColumnFormula>VLOOKUP($H3,$S$3:$AA$13,6,0)</calculatedColumnFormula>
    </tableColumn>
    <tableColumn id="7" xr3:uid="{9D129E57-9A29-4124-85D8-DBE5A22A4CF5}" name="RÓŻNICA" dataDxfId="28">
      <calculatedColumnFormula>VLOOKUP($H3,$S$3:$AA$13,7,0)</calculatedColumnFormula>
    </tableColumn>
    <tableColumn id="10" xr3:uid="{BDEBFD5B-B005-45BB-B1A7-34B0C4D7F300}" name="STOSUNEK" dataDxfId="27" dataCellStyle="Normalny 2">
      <calculatedColumnFormula>IF(Tabela137[[#This Row],[STRACONE]]=0,0,Tabela137[[#This Row],[ZDOBYTE]]/Tabela137[[#This Row],[STRACONE]])</calculatedColumnFormula>
    </tableColumn>
    <tableColumn id="8" xr3:uid="{C492A9DD-067F-406F-ABFB-EDC8AD2C4A36}" name="PUNKTY" dataDxfId="26">
      <calculatedColumnFormula>VLOOKUP($H3,$S$3:$AB$13,9,0)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0E5C1-98EF-4D19-8BB8-4BF8CECD194D}" name="Tabela1378" displayName="Tabela1378" ref="H2:P13" totalsRowShown="0" headerRowDxfId="25" headerRowBorderDxfId="23" tableBorderDxfId="24" totalsRowBorderDxfId="22">
  <tableColumns count="9">
    <tableColumn id="1" xr3:uid="{E188836E-F7A7-4E9D-AD37-456516C3E745}" name="Zespół" dataDxfId="21" dataCellStyle="Normalny 2"/>
    <tableColumn id="2" xr3:uid="{7F799D0F-92A2-4A0F-9AF4-2FE41AA2CF95}" name="GRY" dataDxfId="20">
      <calculatedColumnFormula>VLOOKUP($H3,$S$3:$AA$13,2,0)</calculatedColumnFormula>
    </tableColumn>
    <tableColumn id="3" xr3:uid="{C953145E-31C0-495C-8210-B1680A85A7E9}" name="WYGRANE" dataDxfId="19">
      <calculatedColumnFormula>VLOOKUP($H3,$S$3:$AA$13,3,0)</calculatedColumnFormula>
    </tableColumn>
    <tableColumn id="4" xr3:uid="{6AEF61EE-A1C4-4B3F-9BB7-41B2409161B6}" name="PRZEGRANE" dataDxfId="18">
      <calculatedColumnFormula>VLOOKUP($H3,$S$3:$AA$13,4,0)</calculatedColumnFormula>
    </tableColumn>
    <tableColumn id="5" xr3:uid="{57A21717-9011-4909-8FDB-B1312831C4F0}" name="ZDOBYTE" dataDxfId="17">
      <calculatedColumnFormula>VLOOKUP($H3,$S$3:$AA$13,5,0)</calculatedColumnFormula>
    </tableColumn>
    <tableColumn id="6" xr3:uid="{168DEA58-BEA1-4334-87F5-FB9C178E1DEF}" name="STRACONE" dataDxfId="16">
      <calculatedColumnFormula>VLOOKUP($H3,$S$3:$AA$13,6,0)</calculatedColumnFormula>
    </tableColumn>
    <tableColumn id="7" xr3:uid="{CAA71883-1548-4078-80A7-1BC4E86F8B4D}" name="RÓŻNICA" dataDxfId="15">
      <calculatedColumnFormula>VLOOKUP($H3,$S$3:$AA$13,7,0)</calculatedColumnFormula>
    </tableColumn>
    <tableColumn id="10" xr3:uid="{459C841A-5AEE-4208-9DD5-7C1541E03AF6}" name="STOSUNEK" dataDxfId="14" dataCellStyle="Normalny 2">
      <calculatedColumnFormula>IF(Tabela1378[[#This Row],[STRACONE]]=0,0,Tabela1378[[#This Row],[ZDOBYTE]]/Tabela1378[[#This Row],[STRACONE]])</calculatedColumnFormula>
    </tableColumn>
    <tableColumn id="8" xr3:uid="{ABEACC91-E2EE-41E4-808E-890DB99E6CAA}" name="PUNKTY" dataDxfId="13">
      <calculatedColumnFormula>VLOOKUP($H3,$S$3:$AB$13,9,0)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0F13FA-CA60-4CAC-AC23-624135694194}" name="Tabela14569" displayName="Tabela14569" ref="H2:P12" totalsRowShown="0" headerRowDxfId="12" headerRowBorderDxfId="10" tableBorderDxfId="11" totalsRowBorderDxfId="9">
  <tableColumns count="9">
    <tableColumn id="1" xr3:uid="{F46B7600-EAB5-4E4E-9DF3-E5C702D2A45F}" name="Zespół" dataDxfId="8" dataCellStyle="Normalny 2"/>
    <tableColumn id="2" xr3:uid="{6A430E0A-8556-48BD-9DF3-6EEA4A76144E}" name="GRY" dataDxfId="7">
      <calculatedColumnFormula>VLOOKUP($H3,$S$3:$AA$12,2,0)</calculatedColumnFormula>
    </tableColumn>
    <tableColumn id="3" xr3:uid="{6DC6F637-6814-4549-88D4-AE9706865FA4}" name="WYGRANE" dataDxfId="6">
      <calculatedColumnFormula>VLOOKUP($H3,$S$3:$AA$12,3,0)</calculatedColumnFormula>
    </tableColumn>
    <tableColumn id="4" xr3:uid="{1B7898BE-F00F-4DF1-A31D-6D15CECA1999}" name="PRZEGRANE" dataDxfId="5">
      <calculatedColumnFormula>VLOOKUP($H3,$S$3:$AA$12,4,0)</calculatedColumnFormula>
    </tableColumn>
    <tableColumn id="5" xr3:uid="{46497DE4-D1D0-4996-9179-42AFDA590815}" name="ZDOBYTE" dataDxfId="4">
      <calculatedColumnFormula>VLOOKUP($H3,$S$3:$AA$12,5,0)</calculatedColumnFormula>
    </tableColumn>
    <tableColumn id="6" xr3:uid="{2D6B9428-FB90-4AF5-B76F-13486CC3FB72}" name="STRACONE" dataDxfId="3">
      <calculatedColumnFormula>VLOOKUP($H3,$S$3:$AA$12,6,0)</calculatedColumnFormula>
    </tableColumn>
    <tableColumn id="7" xr3:uid="{03D5D5B1-A0AB-4B2F-B184-68B55B6C95D3}" name="RÓŻNICA" dataDxfId="2">
      <calculatedColumnFormula>VLOOKUP($H3,$S$3:$AA$12,7,0)</calculatedColumnFormula>
    </tableColumn>
    <tableColumn id="10" xr3:uid="{9C668844-5F1E-483B-AC44-75F1109C93DF}" name="STOSUNEK" dataDxfId="1" dataCellStyle="Normalny 2">
      <calculatedColumnFormula>IF(Tabela14569[[#This Row],[STRACONE]]=0,0,Tabela14569[[#This Row],[ZDOBYTE]]/Tabela14569[[#This Row],[STRACONE]])</calculatedColumnFormula>
    </tableColumn>
    <tableColumn id="8" xr3:uid="{F3C6B8B2-81C0-4ECD-B8A9-38683BBC6995}" name="PUNKTY" dataDxfId="0">
      <calculatedColumnFormula>VLOOKUP($H3,$S$3:$AB$12,9,0)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C1BA-F6DC-4669-9EBC-5107D19C20E4}">
  <sheetPr>
    <pageSetUpPr fitToPage="1"/>
  </sheetPr>
  <dimension ref="A1:AC61"/>
  <sheetViews>
    <sheetView tabSelected="1" topLeftCell="A43" workbookViewId="0">
      <selection activeCell="H61" sqref="H61"/>
    </sheetView>
  </sheetViews>
  <sheetFormatPr defaultColWidth="8.85546875" defaultRowHeight="15"/>
  <cols>
    <col min="1" max="2" width="20.140625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0.7109375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customWidth="1"/>
    <col min="19" max="19" width="12.7109375" style="2" customWidth="1"/>
    <col min="20" max="26" width="9.140625" style="2" customWidth="1"/>
    <col min="27" max="27" width="7" style="2" customWidth="1"/>
    <col min="28" max="28" width="9.140625" style="2" customWidth="1"/>
    <col min="29" max="29" width="8.85546875" style="2" customWidth="1"/>
    <col min="30" max="16384" width="8.85546875" style="2"/>
  </cols>
  <sheetData>
    <row r="1" spans="1:29" ht="28.5">
      <c r="A1" s="1" t="s">
        <v>0</v>
      </c>
      <c r="S1" s="2" t="s">
        <v>1</v>
      </c>
      <c r="T1" s="2" t="b">
        <f>ROWS(homescore)-COUNT(homescore)=0</f>
        <v>1</v>
      </c>
    </row>
    <row r="2" spans="1:29"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6" t="s">
        <v>9</v>
      </c>
      <c r="P2" s="6" t="s">
        <v>10</v>
      </c>
      <c r="T2" s="7" t="s">
        <v>3</v>
      </c>
      <c r="U2" s="8" t="s">
        <v>11</v>
      </c>
      <c r="V2" s="8" t="s">
        <v>12</v>
      </c>
      <c r="W2" s="9" t="s">
        <v>13</v>
      </c>
      <c r="X2" s="4" t="s">
        <v>14</v>
      </c>
      <c r="Y2" s="8" t="s">
        <v>15</v>
      </c>
      <c r="Z2" s="22" t="s">
        <v>16</v>
      </c>
      <c r="AA2" s="9" t="s">
        <v>12</v>
      </c>
      <c r="AB2" s="9" t="s">
        <v>17</v>
      </c>
      <c r="AC2" s="2" t="s">
        <v>18</v>
      </c>
    </row>
    <row r="3" spans="1:29">
      <c r="A3" s="10" t="s">
        <v>2</v>
      </c>
      <c r="B3" s="11"/>
      <c r="H3" s="12" t="str">
        <f>_xlfn.XLOOKUP(1,$AC$3:$AC$12,$S$3:$S$12)</f>
        <v>ISKRA WARSZAWA 4</v>
      </c>
      <c r="I3" s="12">
        <f t="shared" ref="I3:I12" si="0">VLOOKUP($H3,$S$3:$AA$12,2,0)</f>
        <v>9</v>
      </c>
      <c r="J3" s="12">
        <f t="shared" ref="J3:J12" si="1">VLOOKUP($H3,$S$3:$AA$12,3,0)</f>
        <v>9</v>
      </c>
      <c r="K3" s="12">
        <f t="shared" ref="K3:K12" si="2">VLOOKUP($H3,$S$3:$AA$12,4,0)</f>
        <v>0</v>
      </c>
      <c r="L3" s="12">
        <f t="shared" ref="L3:L12" si="3">VLOOKUP($H3,$S$3:$AA$12,5,0)</f>
        <v>100</v>
      </c>
      <c r="M3" s="12">
        <f t="shared" ref="M3:M12" si="4">VLOOKUP($H3,$S$3:$AA$12,6,0)</f>
        <v>40</v>
      </c>
      <c r="N3" s="12">
        <f t="shared" ref="N3:N12" si="5">VLOOKUP($H3,$S$3:$AA$12,7,0)</f>
        <v>60</v>
      </c>
      <c r="O3" s="21">
        <f>IF(Tabela1[[#This Row],[STRACONE]]=0,0,Tabela1[[#This Row],[ZDOBYTE]]/Tabela1[[#This Row],[STRACONE]])</f>
        <v>2.5</v>
      </c>
      <c r="P3" s="13">
        <f t="shared" ref="P3:P12" si="6">VLOOKUP($H3,$S$3:$AB$12,9,0)</f>
        <v>18</v>
      </c>
      <c r="S3" s="14" t="str">
        <f t="shared" ref="S3:S10" si="7">A4</f>
        <v>AT RADOM 1</v>
      </c>
      <c r="T3" s="15" cm="1">
        <f t="array" ref="T3">SUM((home=S3)*(ISNUMBER(homescore)),(visitor=S3)*(ISNUMBER(visitorscore)))</f>
        <v>9</v>
      </c>
      <c r="U3" s="3">
        <f t="array" ref="U3">SUM((home=S3)*(homescore&gt;visitorscore),(visitor=S3)*(visitorscore&gt;homescore))</f>
        <v>5</v>
      </c>
      <c r="V3" s="3">
        <f t="array" ref="V3">SUM((home=S3)*(homescore&lt;visitorscore),(visitor=S3)*(visitorscore&lt;homescore))</f>
        <v>4</v>
      </c>
      <c r="W3" s="16">
        <f t="shared" ref="W3:W10" si="8">SUMIF(home,S3,homescore)+SUMIF(visitor,S3,visitorscore)</f>
        <v>83</v>
      </c>
      <c r="X3" s="17">
        <f t="shared" ref="X3:X10" si="9">SUMIF(home,S3,visitorscore)+SUMIF(visitor,S3,homescore)</f>
        <v>82</v>
      </c>
      <c r="Y3" s="3">
        <f>W3-X3</f>
        <v>1</v>
      </c>
      <c r="Z3" s="23">
        <f>IF(X3&gt;0,W3/X3,0)</f>
        <v>1.0121951219512195</v>
      </c>
      <c r="AA3" s="16">
        <f>2*U3</f>
        <v>10</v>
      </c>
      <c r="AB3" s="18">
        <f>W3+Z3*1000+Y3*10000+AA3*100000000</f>
        <v>1000011095.195122</v>
      </c>
      <c r="AC3" s="2">
        <f>RANK(AB3,$AB$3:$AB$12)</f>
        <v>5</v>
      </c>
    </row>
    <row r="4" spans="1:29">
      <c r="A4" s="49" t="s">
        <v>19</v>
      </c>
      <c r="H4" s="12" t="str">
        <f>_xlfn.XLOOKUP(2,$AC$3:$AC$12,$S$3:$S$12)</f>
        <v>MOS WOLA 1</v>
      </c>
      <c r="I4" s="12">
        <f t="shared" si="0"/>
        <v>9</v>
      </c>
      <c r="J4" s="12">
        <f t="shared" si="1"/>
        <v>8</v>
      </c>
      <c r="K4" s="12">
        <f t="shared" si="2"/>
        <v>1</v>
      </c>
      <c r="L4" s="12">
        <f t="shared" si="3"/>
        <v>94</v>
      </c>
      <c r="M4" s="12">
        <f t="shared" si="4"/>
        <v>64</v>
      </c>
      <c r="N4" s="12">
        <f t="shared" si="5"/>
        <v>30</v>
      </c>
      <c r="O4" s="21">
        <f>IF(Tabela1[[#This Row],[STRACONE]]=0,0,Tabela1[[#This Row],[ZDOBYTE]]/Tabela1[[#This Row],[STRACONE]])</f>
        <v>1.46875</v>
      </c>
      <c r="P4" s="13">
        <f t="shared" si="6"/>
        <v>16</v>
      </c>
      <c r="S4" s="19" t="str">
        <f t="shared" si="7"/>
        <v>UKS LESZNOWOLA 2</v>
      </c>
      <c r="T4" s="15" cm="1">
        <f t="array" ref="T4">SUM((home=S4)*(ISNUMBER(homescore)),(visitor=S4)*(ISNUMBER(visitorscore)))</f>
        <v>9</v>
      </c>
      <c r="U4" s="3">
        <f t="array" ref="U4">SUM((home=S4)*(homescore&gt;visitorscore),(visitor=S4)*(visitorscore&gt;homescore))</f>
        <v>2</v>
      </c>
      <c r="V4" s="3">
        <f t="array" ref="V4">SUM((home=S4)*(homescore&lt;visitorscore),(visitor=S4)*(visitorscore&lt;homescore))</f>
        <v>7</v>
      </c>
      <c r="W4" s="16">
        <f t="shared" si="8"/>
        <v>54</v>
      </c>
      <c r="X4" s="17">
        <f t="shared" si="9"/>
        <v>91</v>
      </c>
      <c r="Y4" s="3">
        <f t="shared" ref="Y4:Y9" si="10">W4-X4</f>
        <v>-37</v>
      </c>
      <c r="Z4" s="23">
        <f t="shared" ref="Z4:Z11" si="11">IF(X4&gt;0,W4/X4,0)</f>
        <v>0.59340659340659341</v>
      </c>
      <c r="AA4" s="16">
        <f t="shared" ref="AA4:AA11" si="12">2*U4</f>
        <v>4</v>
      </c>
      <c r="AB4" s="18">
        <f t="shared" ref="AB4:AB11" si="13">W4+Z4*1000+Y4*10000+AA4*100000000</f>
        <v>399630647.40659338</v>
      </c>
      <c r="AC4" s="2">
        <f t="shared" ref="AC4:AC12" si="14">RANK(AB4,$AB$3:$AB$12)</f>
        <v>8</v>
      </c>
    </row>
    <row r="5" spans="1:29">
      <c r="A5" s="49" t="s">
        <v>20</v>
      </c>
      <c r="H5" s="12" t="str">
        <f>_xlfn.XLOOKUP(3,$AC$3:$AC$12,$S$3:$S$12)</f>
        <v>METRO WARSZAWA 2</v>
      </c>
      <c r="I5" s="12">
        <f t="shared" si="0"/>
        <v>9</v>
      </c>
      <c r="J5" s="12">
        <f t="shared" si="1"/>
        <v>6</v>
      </c>
      <c r="K5" s="12">
        <f t="shared" si="2"/>
        <v>3</v>
      </c>
      <c r="L5" s="12">
        <f t="shared" si="3"/>
        <v>83</v>
      </c>
      <c r="M5" s="12">
        <f t="shared" si="4"/>
        <v>74</v>
      </c>
      <c r="N5" s="12">
        <f t="shared" si="5"/>
        <v>9</v>
      </c>
      <c r="O5" s="21">
        <f>IF(Tabela1[[#This Row],[STRACONE]]=0,0,Tabela1[[#This Row],[ZDOBYTE]]/Tabela1[[#This Row],[STRACONE]])</f>
        <v>1.1216216216216217</v>
      </c>
      <c r="P5" s="13">
        <f t="shared" si="6"/>
        <v>12</v>
      </c>
      <c r="S5" s="19" t="str">
        <f t="shared" si="7"/>
        <v>ISKRA WARSZAWA 4</v>
      </c>
      <c r="T5" s="15" cm="1">
        <f t="array" ref="T5">SUM((home=S5)*(ISNUMBER(homescore)),(visitor=S5)*(ISNUMBER(visitorscore)))</f>
        <v>9</v>
      </c>
      <c r="U5" s="3">
        <f t="array" ref="U5">SUM((home=S5)*(homescore&gt;visitorscore),(visitor=S5)*(visitorscore&gt;homescore))</f>
        <v>9</v>
      </c>
      <c r="V5" s="3">
        <f t="array" ref="V5">SUM((home=S5)*(homescore&lt;visitorscore),(visitor=S5)*(visitorscore&lt;homescore))</f>
        <v>0</v>
      </c>
      <c r="W5" s="16">
        <f t="shared" si="8"/>
        <v>100</v>
      </c>
      <c r="X5" s="17">
        <f t="shared" si="9"/>
        <v>40</v>
      </c>
      <c r="Y5" s="3">
        <f t="shared" si="10"/>
        <v>60</v>
      </c>
      <c r="Z5" s="23">
        <f t="shared" si="11"/>
        <v>2.5</v>
      </c>
      <c r="AA5" s="16">
        <f t="shared" si="12"/>
        <v>18</v>
      </c>
      <c r="AB5" s="18">
        <f t="shared" si="13"/>
        <v>1800602600</v>
      </c>
      <c r="AC5" s="2">
        <f t="shared" si="14"/>
        <v>1</v>
      </c>
    </row>
    <row r="6" spans="1:29">
      <c r="A6" s="49" t="s">
        <v>21</v>
      </c>
      <c r="H6" s="12" t="str">
        <f>_xlfn.XLOOKUP(4,$AC$3:$AC$12,$S$3:$S$12)</f>
        <v>G-8 BIELANY 2</v>
      </c>
      <c r="I6" s="12">
        <f t="shared" si="0"/>
        <v>9</v>
      </c>
      <c r="J6" s="12">
        <f t="shared" si="1"/>
        <v>5</v>
      </c>
      <c r="K6" s="12">
        <f t="shared" si="2"/>
        <v>4</v>
      </c>
      <c r="L6" s="12">
        <f t="shared" si="3"/>
        <v>86</v>
      </c>
      <c r="M6" s="12">
        <f t="shared" si="4"/>
        <v>78</v>
      </c>
      <c r="N6" s="12">
        <f t="shared" si="5"/>
        <v>8</v>
      </c>
      <c r="O6" s="21">
        <f>IF(Tabela1[[#This Row],[STRACONE]]=0,0,Tabela1[[#This Row],[ZDOBYTE]]/Tabela1[[#This Row],[STRACONE]])</f>
        <v>1.1025641025641026</v>
      </c>
      <c r="P6" s="13">
        <f t="shared" si="6"/>
        <v>10</v>
      </c>
      <c r="S6" s="19" t="str">
        <f t="shared" si="7"/>
        <v>ORLĘTA RASZYN 1</v>
      </c>
      <c r="T6" s="15" cm="1">
        <f t="array" ref="T6">SUM((home=S6)*(ISNUMBER(homescore)),(visitor=S6)*(ISNUMBER(visitorscore)))</f>
        <v>9</v>
      </c>
      <c r="U6" s="3">
        <f t="array" ref="U6">SUM((home=S6)*(homescore&gt;visitorscore),(visitor=S6)*(visitorscore&gt;homescore))</f>
        <v>4</v>
      </c>
      <c r="V6" s="3">
        <f t="array" ref="V6">SUM((home=S6)*(homescore&lt;visitorscore),(visitor=S6)*(visitorscore&lt;homescore))</f>
        <v>5</v>
      </c>
      <c r="W6" s="16">
        <f t="shared" si="8"/>
        <v>69</v>
      </c>
      <c r="X6" s="17">
        <f t="shared" si="9"/>
        <v>79</v>
      </c>
      <c r="Y6" s="3">
        <f t="shared" si="10"/>
        <v>-10</v>
      </c>
      <c r="Z6" s="23">
        <f t="shared" si="11"/>
        <v>0.87341772151898733</v>
      </c>
      <c r="AA6" s="16">
        <f t="shared" si="12"/>
        <v>8</v>
      </c>
      <c r="AB6" s="18">
        <f t="shared" si="13"/>
        <v>799900942.41772151</v>
      </c>
      <c r="AC6" s="2">
        <f t="shared" si="14"/>
        <v>7</v>
      </c>
    </row>
    <row r="7" spans="1:29">
      <c r="A7" s="49" t="s">
        <v>22</v>
      </c>
      <c r="H7" s="12" t="str">
        <f>_xlfn.XLOOKUP(5,$AC$3:$AC$12,$S$3:$S$12)</f>
        <v>AT RADOM 1</v>
      </c>
      <c r="I7" s="12">
        <f t="shared" si="0"/>
        <v>9</v>
      </c>
      <c r="J7" s="12">
        <f t="shared" si="1"/>
        <v>5</v>
      </c>
      <c r="K7" s="12">
        <f t="shared" si="2"/>
        <v>4</v>
      </c>
      <c r="L7" s="12">
        <f t="shared" si="3"/>
        <v>83</v>
      </c>
      <c r="M7" s="12">
        <f t="shared" si="4"/>
        <v>82</v>
      </c>
      <c r="N7" s="12">
        <f t="shared" si="5"/>
        <v>1</v>
      </c>
      <c r="O7" s="21">
        <f>IF(Tabela1[[#This Row],[STRACONE]]=0,0,Tabela1[[#This Row],[ZDOBYTE]]/Tabela1[[#This Row],[STRACONE]])</f>
        <v>1.0121951219512195</v>
      </c>
      <c r="P7" s="13">
        <f t="shared" si="6"/>
        <v>10</v>
      </c>
      <c r="S7" s="19" t="str">
        <f t="shared" si="7"/>
        <v>MOS WOLA 1</v>
      </c>
      <c r="T7" s="15" cm="1">
        <f t="array" ref="T7">SUM((home=S7)*(ISNUMBER(homescore)),(visitor=S7)*(ISNUMBER(visitorscore)))</f>
        <v>9</v>
      </c>
      <c r="U7" s="3">
        <f t="array" ref="U7">SUM((home=S7)*(homescore&gt;visitorscore),(visitor=S7)*(visitorscore&gt;homescore))</f>
        <v>8</v>
      </c>
      <c r="V7" s="3">
        <f t="array" ref="V7">SUM((home=S7)*(homescore&lt;visitorscore),(visitor=S7)*(visitorscore&lt;homescore))</f>
        <v>1</v>
      </c>
      <c r="W7" s="16">
        <f t="shared" si="8"/>
        <v>94</v>
      </c>
      <c r="X7" s="17">
        <f t="shared" si="9"/>
        <v>64</v>
      </c>
      <c r="Y7" s="3">
        <f t="shared" si="10"/>
        <v>30</v>
      </c>
      <c r="Z7" s="23">
        <f t="shared" si="11"/>
        <v>1.46875</v>
      </c>
      <c r="AA7" s="16">
        <f t="shared" si="12"/>
        <v>16</v>
      </c>
      <c r="AB7" s="18">
        <f t="shared" si="13"/>
        <v>1600301562.75</v>
      </c>
      <c r="AC7" s="2">
        <f t="shared" si="14"/>
        <v>2</v>
      </c>
    </row>
    <row r="8" spans="1:29">
      <c r="A8" s="49" t="s">
        <v>23</v>
      </c>
      <c r="H8" s="12" t="str">
        <f>_xlfn.XLOOKUP(6,$AC$3:$AC$12,$S$3:$S$12)</f>
        <v>G-8 BIELANY 1</v>
      </c>
      <c r="I8" s="12">
        <f t="shared" si="0"/>
        <v>9</v>
      </c>
      <c r="J8" s="12">
        <f t="shared" si="1"/>
        <v>4</v>
      </c>
      <c r="K8" s="12">
        <f t="shared" si="2"/>
        <v>5</v>
      </c>
      <c r="L8" s="12">
        <f t="shared" si="3"/>
        <v>84</v>
      </c>
      <c r="M8" s="12">
        <f t="shared" si="4"/>
        <v>71</v>
      </c>
      <c r="N8" s="12">
        <f t="shared" si="5"/>
        <v>13</v>
      </c>
      <c r="O8" s="21">
        <f>IF(Tabela1[[#This Row],[STRACONE]]=0,0,Tabela1[[#This Row],[ZDOBYTE]]/Tabela1[[#This Row],[STRACONE]])</f>
        <v>1.1830985915492958</v>
      </c>
      <c r="P8" s="13">
        <f t="shared" si="6"/>
        <v>8</v>
      </c>
      <c r="S8" s="19" t="str">
        <f t="shared" si="7"/>
        <v>ASTW 1</v>
      </c>
      <c r="T8" s="15" cm="1">
        <f t="array" ref="T8">SUM((home=S8)*(ISNUMBER(homescore)),(visitor=S8)*(ISNUMBER(visitorscore)))</f>
        <v>9</v>
      </c>
      <c r="U8" s="3">
        <f t="array" ref="U8">SUM((home=S8)*(homescore&gt;visitorscore),(visitor=S8)*(visitorscore&gt;homescore))</f>
        <v>1</v>
      </c>
      <c r="V8" s="3">
        <f t="array" ref="V8">SUM((home=S8)*(homescore&lt;visitorscore),(visitor=S8)*(visitorscore&lt;homescore))</f>
        <v>8</v>
      </c>
      <c r="W8" s="16">
        <f t="shared" si="8"/>
        <v>57</v>
      </c>
      <c r="X8" s="17">
        <f t="shared" si="9"/>
        <v>95</v>
      </c>
      <c r="Y8" s="3">
        <f t="shared" si="10"/>
        <v>-38</v>
      </c>
      <c r="Z8" s="23">
        <f t="shared" si="11"/>
        <v>0.6</v>
      </c>
      <c r="AA8" s="16">
        <f t="shared" si="12"/>
        <v>2</v>
      </c>
      <c r="AB8" s="18">
        <f t="shared" si="13"/>
        <v>199620657</v>
      </c>
      <c r="AC8" s="2">
        <f t="shared" si="14"/>
        <v>10</v>
      </c>
    </row>
    <row r="9" spans="1:29">
      <c r="A9" s="49" t="s">
        <v>24</v>
      </c>
      <c r="H9" s="12" t="str">
        <f>_xlfn.XLOOKUP(7,$AC$3:$AC$12,$S$3:$S$12)</f>
        <v>ORLĘTA RASZYN 1</v>
      </c>
      <c r="I9" s="12">
        <f t="shared" si="0"/>
        <v>9</v>
      </c>
      <c r="J9" s="12">
        <f t="shared" si="1"/>
        <v>4</v>
      </c>
      <c r="K9" s="12">
        <f t="shared" si="2"/>
        <v>5</v>
      </c>
      <c r="L9" s="12">
        <f t="shared" si="3"/>
        <v>69</v>
      </c>
      <c r="M9" s="12">
        <f t="shared" si="4"/>
        <v>79</v>
      </c>
      <c r="N9" s="12">
        <f t="shared" si="5"/>
        <v>-10</v>
      </c>
      <c r="O9" s="21">
        <f>IF(Tabela1[[#This Row],[STRACONE]]=0,0,Tabela1[[#This Row],[ZDOBYTE]]/Tabela1[[#This Row],[STRACONE]])</f>
        <v>0.87341772151898733</v>
      </c>
      <c r="P9" s="13">
        <f t="shared" si="6"/>
        <v>8</v>
      </c>
      <c r="S9" s="19" t="str">
        <f t="shared" si="7"/>
        <v>G-8 BIELANY 2</v>
      </c>
      <c r="T9" s="15" cm="1">
        <f t="array" ref="T9">SUM((home=S9)*(ISNUMBER(homescore)),(visitor=S9)*(ISNUMBER(visitorscore)))</f>
        <v>9</v>
      </c>
      <c r="U9" s="3">
        <f t="array" ref="U9">SUM((home=S9)*(homescore&gt;visitorscore),(visitor=S9)*(visitorscore&gt;homescore))</f>
        <v>5</v>
      </c>
      <c r="V9" s="3">
        <f t="array" ref="V9">SUM((home=S9)*(homescore&lt;visitorscore),(visitor=S9)*(visitorscore&lt;homescore))</f>
        <v>4</v>
      </c>
      <c r="W9" s="16">
        <f t="shared" si="8"/>
        <v>86</v>
      </c>
      <c r="X9" s="17">
        <f t="shared" si="9"/>
        <v>78</v>
      </c>
      <c r="Y9" s="3">
        <f t="shared" si="10"/>
        <v>8</v>
      </c>
      <c r="Z9" s="23">
        <f t="shared" si="11"/>
        <v>1.1025641025641026</v>
      </c>
      <c r="AA9" s="16">
        <f t="shared" si="12"/>
        <v>10</v>
      </c>
      <c r="AB9" s="18">
        <f t="shared" si="13"/>
        <v>1000081188.5641025</v>
      </c>
      <c r="AC9" s="2">
        <f t="shared" si="14"/>
        <v>4</v>
      </c>
    </row>
    <row r="10" spans="1:29">
      <c r="A10" s="49" t="s">
        <v>25</v>
      </c>
      <c r="H10" s="12" t="str">
        <f>_xlfn.XLOOKUP(8,$AC$3:$AC$12,$S$3:$S$12)</f>
        <v>UKS LESZNOWOLA 2</v>
      </c>
      <c r="I10" s="12">
        <f t="shared" si="0"/>
        <v>9</v>
      </c>
      <c r="J10" s="12">
        <f t="shared" si="1"/>
        <v>2</v>
      </c>
      <c r="K10" s="12">
        <f t="shared" si="2"/>
        <v>7</v>
      </c>
      <c r="L10" s="12">
        <f t="shared" si="3"/>
        <v>54</v>
      </c>
      <c r="M10" s="12">
        <f t="shared" si="4"/>
        <v>91</v>
      </c>
      <c r="N10" s="12">
        <f t="shared" si="5"/>
        <v>-37</v>
      </c>
      <c r="O10" s="21">
        <f>IF(Tabela1[[#This Row],[STRACONE]]=0,0,Tabela1[[#This Row],[ZDOBYTE]]/Tabela1[[#This Row],[STRACONE]])</f>
        <v>0.59340659340659341</v>
      </c>
      <c r="P10" s="13">
        <f t="shared" si="6"/>
        <v>4</v>
      </c>
      <c r="S10" s="19" t="str">
        <f t="shared" si="7"/>
        <v>METRO WARSZAWA 2</v>
      </c>
      <c r="T10" s="15" cm="1">
        <f t="array" ref="T10">SUM((home=S10)*(ISNUMBER(homescore)),(visitor=S10)*(ISNUMBER(visitorscore)))</f>
        <v>9</v>
      </c>
      <c r="U10" s="3">
        <f t="array" ref="U10">SUM((home=S10)*(homescore&gt;visitorscore),(visitor=S10)*(visitorscore&gt;homescore))</f>
        <v>6</v>
      </c>
      <c r="V10" s="3">
        <f t="array" ref="V10">SUM((home=S10)*(homescore&lt;visitorscore),(visitor=S10)*(visitorscore&lt;homescore))</f>
        <v>3</v>
      </c>
      <c r="W10" s="16">
        <f t="shared" si="8"/>
        <v>83</v>
      </c>
      <c r="X10" s="17">
        <f t="shared" si="9"/>
        <v>74</v>
      </c>
      <c r="Y10" s="3">
        <f t="shared" ref="Y10" si="15">W10-X10</f>
        <v>9</v>
      </c>
      <c r="Z10" s="23">
        <f t="shared" si="11"/>
        <v>1.1216216216216217</v>
      </c>
      <c r="AA10" s="16">
        <f t="shared" si="12"/>
        <v>12</v>
      </c>
      <c r="AB10" s="18">
        <f t="shared" si="13"/>
        <v>1200091204.6216216</v>
      </c>
      <c r="AC10" s="2">
        <f t="shared" si="14"/>
        <v>3</v>
      </c>
    </row>
    <row r="11" spans="1:29">
      <c r="A11" s="49" t="s">
        <v>26</v>
      </c>
      <c r="H11" s="12" t="str">
        <f>_xlfn.XLOOKUP(9,$AC$3:$AC$12,$S$3:$S$12)</f>
        <v>METRO WARSZAWA 1</v>
      </c>
      <c r="I11" s="12">
        <f t="shared" si="0"/>
        <v>9</v>
      </c>
      <c r="J11" s="12">
        <f t="shared" si="1"/>
        <v>1</v>
      </c>
      <c r="K11" s="12">
        <f t="shared" si="2"/>
        <v>8</v>
      </c>
      <c r="L11" s="12">
        <f t="shared" si="3"/>
        <v>57</v>
      </c>
      <c r="M11" s="12">
        <f t="shared" si="4"/>
        <v>93</v>
      </c>
      <c r="N11" s="12">
        <f t="shared" si="5"/>
        <v>-36</v>
      </c>
      <c r="O11" s="21">
        <f>IF(Tabela1[[#This Row],[STRACONE]]=0,0,Tabela1[[#This Row],[ZDOBYTE]]/Tabela1[[#This Row],[STRACONE]])</f>
        <v>0.61290322580645162</v>
      </c>
      <c r="P11" s="13">
        <f t="shared" si="6"/>
        <v>2</v>
      </c>
      <c r="S11" s="19" t="str">
        <f>A12</f>
        <v>G-8 BIELANY 1</v>
      </c>
      <c r="T11" s="15" cm="1">
        <f t="array" ref="T11">SUM((home=S11)*(ISNUMBER(homescore)),(visitor=S11)*(ISNUMBER(visitorscore)))</f>
        <v>9</v>
      </c>
      <c r="U11" s="3">
        <f t="array" ref="U11">SUM((home=S11)*(homescore&gt;visitorscore),(visitor=S11)*(visitorscore&gt;homescore))</f>
        <v>4</v>
      </c>
      <c r="V11" s="3">
        <f t="array" ref="V11">SUM((home=S11)*(homescore&lt;visitorscore),(visitor=S11)*(visitorscore&lt;homescore))</f>
        <v>5</v>
      </c>
      <c r="W11" s="16">
        <f t="shared" ref="W11:W12" si="16">SUMIF(home,S11,homescore)+SUMIF(visitor,S11,visitorscore)</f>
        <v>84</v>
      </c>
      <c r="X11" s="17">
        <f t="shared" ref="X11:X12" si="17">SUMIF(home,S11,visitorscore)+SUMIF(visitor,S11,homescore)</f>
        <v>71</v>
      </c>
      <c r="Y11" s="3">
        <f t="shared" ref="Y11" si="18">W11-X11</f>
        <v>13</v>
      </c>
      <c r="Z11" s="23">
        <f t="shared" si="11"/>
        <v>1.1830985915492958</v>
      </c>
      <c r="AA11" s="16">
        <f t="shared" si="12"/>
        <v>8</v>
      </c>
      <c r="AB11" s="18">
        <f t="shared" si="13"/>
        <v>800131267.09859157</v>
      </c>
      <c r="AC11" s="2">
        <f t="shared" si="14"/>
        <v>6</v>
      </c>
    </row>
    <row r="12" spans="1:29">
      <c r="A12" s="49" t="s">
        <v>27</v>
      </c>
      <c r="H12" s="12" t="str">
        <f>_xlfn.XLOOKUP(10,$AC$3:$AC$12,$S$3:$S$12)</f>
        <v>ASTW 1</v>
      </c>
      <c r="I12" s="12">
        <f t="shared" si="0"/>
        <v>9</v>
      </c>
      <c r="J12" s="12">
        <f t="shared" si="1"/>
        <v>1</v>
      </c>
      <c r="K12" s="12">
        <f t="shared" si="2"/>
        <v>8</v>
      </c>
      <c r="L12" s="12">
        <f t="shared" si="3"/>
        <v>57</v>
      </c>
      <c r="M12" s="12">
        <f t="shared" si="4"/>
        <v>95</v>
      </c>
      <c r="N12" s="12">
        <f t="shared" si="5"/>
        <v>-38</v>
      </c>
      <c r="O12" s="21">
        <f>IF(Tabela1[[#This Row],[STRACONE]]=0,0,Tabela1[[#This Row],[ZDOBYTE]]/Tabela1[[#This Row],[STRACONE]])</f>
        <v>0.6</v>
      </c>
      <c r="P12" s="13">
        <f t="shared" si="6"/>
        <v>2</v>
      </c>
      <c r="S12" s="24" t="str">
        <f t="shared" ref="S12" si="19">A13</f>
        <v>METRO WARSZAWA 1</v>
      </c>
      <c r="T12" s="15" cm="1">
        <f t="array" ref="T12">SUM((home=S12)*(ISNUMBER(homescore)),(visitor=S12)*(ISNUMBER(visitorscore)))</f>
        <v>9</v>
      </c>
      <c r="U12" s="3">
        <f t="array" ref="U12">SUM((home=S12)*(homescore&gt;visitorscore),(visitor=S12)*(visitorscore&gt;homescore))</f>
        <v>1</v>
      </c>
      <c r="V12" s="3">
        <f t="array" ref="V12">SUM((home=S12)*(homescore&lt;visitorscore),(visitor=S12)*(visitorscore&lt;homescore))</f>
        <v>8</v>
      </c>
      <c r="W12" s="16">
        <f t="shared" si="16"/>
        <v>57</v>
      </c>
      <c r="X12" s="17">
        <f t="shared" si="17"/>
        <v>93</v>
      </c>
      <c r="Y12" s="3">
        <f>W12-X12</f>
        <v>-36</v>
      </c>
      <c r="Z12" s="23">
        <f>IF(X12&gt;0,W12/X12,0)</f>
        <v>0.61290322580645162</v>
      </c>
      <c r="AA12" s="16">
        <f>2*U12</f>
        <v>2</v>
      </c>
      <c r="AB12" s="18">
        <f>W12+Z12*1000+Y12*10000+AA12*100000000</f>
        <v>199640669.90322581</v>
      </c>
      <c r="AC12" s="2">
        <f t="shared" si="14"/>
        <v>9</v>
      </c>
    </row>
    <row r="13" spans="1:29">
      <c r="A13" s="49" t="s">
        <v>28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10" t="s">
        <v>29</v>
      </c>
      <c r="B16" s="10" t="s">
        <v>30</v>
      </c>
      <c r="H16"/>
      <c r="I16"/>
      <c r="J16"/>
      <c r="K16"/>
      <c r="L16"/>
      <c r="M16"/>
      <c r="N16"/>
      <c r="O16"/>
      <c r="P16"/>
    </row>
    <row r="17" spans="1:29">
      <c r="A17" s="20" t="str">
        <f>A4</f>
        <v>AT RADOM 1</v>
      </c>
      <c r="B17" s="20" t="str">
        <f>A13</f>
        <v>METRO WARSZAWA 1</v>
      </c>
      <c r="C17" s="12">
        <v>11</v>
      </c>
      <c r="D17" s="12" t="s">
        <v>31</v>
      </c>
      <c r="E17" s="12">
        <v>9</v>
      </c>
      <c r="H17"/>
      <c r="I17"/>
      <c r="J17"/>
      <c r="K17"/>
      <c r="L17"/>
      <c r="M17"/>
      <c r="N17"/>
      <c r="O17"/>
      <c r="P17"/>
    </row>
    <row r="18" spans="1:29">
      <c r="A18" s="20" t="str">
        <f>A5</f>
        <v>UKS LESZNOWOLA 2</v>
      </c>
      <c r="B18" s="20" t="str">
        <f>A12</f>
        <v>G-8 BIELANY 1</v>
      </c>
      <c r="C18" s="12">
        <v>3</v>
      </c>
      <c r="D18" s="12" t="s">
        <v>31</v>
      </c>
      <c r="E18" s="12">
        <v>11</v>
      </c>
      <c r="F18" s="3"/>
      <c r="H18"/>
      <c r="I18"/>
      <c r="J18"/>
      <c r="K18"/>
      <c r="L18"/>
      <c r="M18"/>
      <c r="N18"/>
      <c r="O18"/>
      <c r="P18"/>
    </row>
    <row r="19" spans="1:29">
      <c r="A19" s="20" t="str">
        <f>A6</f>
        <v>ISKRA WARSZAWA 4</v>
      </c>
      <c r="B19" s="20" t="str">
        <f>A11</f>
        <v>METRO WARSZAWA 2</v>
      </c>
      <c r="C19" s="12">
        <v>11</v>
      </c>
      <c r="D19" s="12" t="s">
        <v>31</v>
      </c>
      <c r="E19" s="12">
        <v>5</v>
      </c>
      <c r="F19" s="3"/>
      <c r="H19"/>
      <c r="I19"/>
      <c r="J19"/>
      <c r="K19"/>
      <c r="L19"/>
      <c r="M19"/>
      <c r="N19"/>
      <c r="O19"/>
      <c r="P19"/>
    </row>
    <row r="20" spans="1:29">
      <c r="A20" s="20" t="str">
        <f>A7</f>
        <v>ORLĘTA RASZYN 1</v>
      </c>
      <c r="B20" s="20" t="str">
        <f>A10</f>
        <v>G-8 BIELANY 2</v>
      </c>
      <c r="C20" s="12">
        <v>6</v>
      </c>
      <c r="D20" s="12" t="s">
        <v>31</v>
      </c>
      <c r="E20" s="12">
        <v>11</v>
      </c>
      <c r="F20" s="3"/>
      <c r="H20"/>
      <c r="I20"/>
      <c r="J20"/>
      <c r="K20"/>
      <c r="L20"/>
      <c r="M20"/>
      <c r="N20"/>
      <c r="O20"/>
      <c r="P20"/>
    </row>
    <row r="21" spans="1:29">
      <c r="A21" s="20" t="str">
        <f>A8</f>
        <v>MOS WOLA 1</v>
      </c>
      <c r="B21" s="20" t="str">
        <f>A9</f>
        <v>ASTW 1</v>
      </c>
      <c r="C21" s="12">
        <v>11</v>
      </c>
      <c r="D21" s="12" t="s">
        <v>31</v>
      </c>
      <c r="E21" s="12">
        <v>5</v>
      </c>
      <c r="F21" s="3"/>
      <c r="H21"/>
      <c r="I21"/>
      <c r="J21"/>
      <c r="K21"/>
      <c r="L21"/>
      <c r="M21"/>
      <c r="N21"/>
      <c r="O21"/>
      <c r="P21"/>
    </row>
    <row r="22" spans="1:29">
      <c r="A22" s="20" t="str">
        <f>A13</f>
        <v>METRO WARSZAWA 1</v>
      </c>
      <c r="B22" s="20" t="str">
        <f>A9</f>
        <v>ASTW 1</v>
      </c>
      <c r="C22" s="12">
        <v>6</v>
      </c>
      <c r="D22" s="12" t="s">
        <v>31</v>
      </c>
      <c r="E22" s="12">
        <v>11</v>
      </c>
      <c r="F22" s="3"/>
      <c r="H22"/>
      <c r="I22"/>
      <c r="J22"/>
      <c r="K22"/>
      <c r="L22"/>
      <c r="M22"/>
      <c r="N22"/>
      <c r="O22"/>
      <c r="P22"/>
    </row>
    <row r="23" spans="1:29">
      <c r="A23" s="20" t="str">
        <f>A10</f>
        <v>G-8 BIELANY 2</v>
      </c>
      <c r="B23" s="20" t="str">
        <f>A8</f>
        <v>MOS WOLA 1</v>
      </c>
      <c r="C23" s="12">
        <v>5</v>
      </c>
      <c r="D23" s="12" t="s">
        <v>31</v>
      </c>
      <c r="E23" s="12">
        <v>11</v>
      </c>
      <c r="F23" s="3" t="s">
        <v>32</v>
      </c>
      <c r="H23"/>
      <c r="I23"/>
      <c r="J23"/>
      <c r="K23"/>
      <c r="L23"/>
      <c r="M23"/>
      <c r="N23"/>
      <c r="O23"/>
      <c r="P23"/>
    </row>
    <row r="24" spans="1:29" s="3" customFormat="1">
      <c r="A24" s="20" t="str">
        <f>A11</f>
        <v>METRO WARSZAWA 2</v>
      </c>
      <c r="B24" s="20" t="str">
        <f>A7</f>
        <v>ORLĘTA RASZYN 1</v>
      </c>
      <c r="C24" s="12">
        <v>7</v>
      </c>
      <c r="D24" s="12" t="s">
        <v>31</v>
      </c>
      <c r="E24" s="12">
        <v>11</v>
      </c>
      <c r="H24"/>
      <c r="I24"/>
      <c r="J24"/>
      <c r="K24"/>
      <c r="L24"/>
      <c r="M24"/>
      <c r="N24"/>
      <c r="O24"/>
      <c r="P2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3" customFormat="1">
      <c r="A25" s="20" t="str">
        <f>A12</f>
        <v>G-8 BIELANY 1</v>
      </c>
      <c r="B25" s="20" t="str">
        <f>A6</f>
        <v>ISKRA WARSZAWA 4</v>
      </c>
      <c r="C25" s="12">
        <v>5</v>
      </c>
      <c r="D25" s="12" t="s">
        <v>31</v>
      </c>
      <c r="E25" s="12">
        <v>11</v>
      </c>
      <c r="F25" s="2"/>
      <c r="H25"/>
      <c r="I25"/>
      <c r="J25"/>
      <c r="K25"/>
      <c r="L25"/>
      <c r="M25"/>
      <c r="N25"/>
      <c r="O25"/>
      <c r="P2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3" customFormat="1">
      <c r="A26" s="20" t="str">
        <f t="shared" ref="A26:A31" si="20">A4</f>
        <v>AT RADOM 1</v>
      </c>
      <c r="B26" s="20" t="str">
        <f>A5</f>
        <v>UKS LESZNOWOLA 2</v>
      </c>
      <c r="C26" s="12">
        <v>11</v>
      </c>
      <c r="D26" s="12" t="s">
        <v>31</v>
      </c>
      <c r="E26" s="12">
        <v>3</v>
      </c>
      <c r="F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3" customFormat="1">
      <c r="A27" s="20" t="str">
        <f t="shared" si="20"/>
        <v>UKS LESZNOWOLA 2</v>
      </c>
      <c r="B27" s="20" t="str">
        <f>A13</f>
        <v>METRO WARSZAWA 1</v>
      </c>
      <c r="C27" s="12">
        <v>5</v>
      </c>
      <c r="D27" s="12" t="s">
        <v>31</v>
      </c>
      <c r="E27" s="12">
        <v>11</v>
      </c>
      <c r="F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3" customFormat="1">
      <c r="A28" s="20" t="str">
        <f t="shared" si="20"/>
        <v>ISKRA WARSZAWA 4</v>
      </c>
      <c r="B28" s="20" t="str">
        <f>A4</f>
        <v>AT RADOM 1</v>
      </c>
      <c r="C28" s="12">
        <v>11</v>
      </c>
      <c r="D28" s="12" t="s">
        <v>31</v>
      </c>
      <c r="E28" s="12">
        <v>3</v>
      </c>
      <c r="F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3" customFormat="1">
      <c r="A29" s="20" t="str">
        <f t="shared" si="20"/>
        <v>ORLĘTA RASZYN 1</v>
      </c>
      <c r="B29" s="20" t="str">
        <f>A12</f>
        <v>G-8 BIELANY 1</v>
      </c>
      <c r="C29" s="12">
        <v>6</v>
      </c>
      <c r="D29" s="12" t="s">
        <v>31</v>
      </c>
      <c r="E29" s="12">
        <v>11</v>
      </c>
      <c r="F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0" t="str">
        <f t="shared" si="20"/>
        <v>MOS WOLA 1</v>
      </c>
      <c r="B30" s="20" t="str">
        <f>A11</f>
        <v>METRO WARSZAWA 2</v>
      </c>
      <c r="C30" s="12">
        <v>11</v>
      </c>
      <c r="D30" s="12" t="s">
        <v>31</v>
      </c>
      <c r="E30" s="12">
        <v>4</v>
      </c>
    </row>
    <row r="31" spans="1:29">
      <c r="A31" s="20" t="str">
        <f t="shared" si="20"/>
        <v>ASTW 1</v>
      </c>
      <c r="B31" s="20" t="str">
        <f>A10</f>
        <v>G-8 BIELANY 2</v>
      </c>
      <c r="C31" s="12">
        <v>3</v>
      </c>
      <c r="D31" s="12" t="s">
        <v>31</v>
      </c>
      <c r="E31" s="12">
        <v>11</v>
      </c>
    </row>
    <row r="32" spans="1:29">
      <c r="A32" s="20" t="str">
        <f>A13</f>
        <v>METRO WARSZAWA 1</v>
      </c>
      <c r="B32" s="20" t="str">
        <f>A10</f>
        <v>G-8 BIELANY 2</v>
      </c>
      <c r="C32" s="12">
        <v>8</v>
      </c>
      <c r="D32" s="12" t="s">
        <v>31</v>
      </c>
      <c r="E32" s="12">
        <v>11</v>
      </c>
    </row>
    <row r="33" spans="1:5">
      <c r="A33" s="20" t="str">
        <f>A12</f>
        <v>G-8 BIELANY 1</v>
      </c>
      <c r="B33" s="20" t="str">
        <f>A8</f>
        <v>MOS WOLA 1</v>
      </c>
      <c r="C33" s="12">
        <v>9</v>
      </c>
      <c r="D33" s="12" t="s">
        <v>31</v>
      </c>
      <c r="E33" s="12">
        <v>11</v>
      </c>
    </row>
    <row r="34" spans="1:5">
      <c r="A34" s="20" t="str">
        <f>A11</f>
        <v>METRO WARSZAWA 2</v>
      </c>
      <c r="B34" s="20" t="str">
        <f>A9</f>
        <v>ASTW 1</v>
      </c>
      <c r="C34" s="12">
        <v>12</v>
      </c>
      <c r="D34" s="12" t="s">
        <v>31</v>
      </c>
      <c r="E34" s="12">
        <v>10</v>
      </c>
    </row>
    <row r="35" spans="1:5">
      <c r="A35" s="20" t="str">
        <f t="shared" ref="A35:A41" si="21">A4</f>
        <v>AT RADOM 1</v>
      </c>
      <c r="B35" s="20" t="str">
        <f>A7</f>
        <v>ORLĘTA RASZYN 1</v>
      </c>
      <c r="C35" s="12">
        <v>5</v>
      </c>
      <c r="D35" s="12" t="s">
        <v>31</v>
      </c>
      <c r="E35" s="12">
        <v>11</v>
      </c>
    </row>
    <row r="36" spans="1:5">
      <c r="A36" s="20" t="str">
        <f t="shared" si="21"/>
        <v>UKS LESZNOWOLA 2</v>
      </c>
      <c r="B36" s="20" t="str">
        <f>A6</f>
        <v>ISKRA WARSZAWA 4</v>
      </c>
      <c r="C36" s="12">
        <v>3</v>
      </c>
      <c r="D36" s="12" t="s">
        <v>31</v>
      </c>
      <c r="E36" s="12">
        <v>11</v>
      </c>
    </row>
    <row r="37" spans="1:5">
      <c r="A37" s="20" t="str">
        <f t="shared" si="21"/>
        <v>ISKRA WARSZAWA 4</v>
      </c>
      <c r="B37" s="20" t="str">
        <f>A13</f>
        <v>METRO WARSZAWA 1</v>
      </c>
      <c r="C37" s="12">
        <v>11</v>
      </c>
      <c r="D37" s="12" t="s">
        <v>31</v>
      </c>
      <c r="E37" s="12">
        <v>5</v>
      </c>
    </row>
    <row r="38" spans="1:5">
      <c r="A38" s="20" t="str">
        <f t="shared" si="21"/>
        <v>ORLĘTA RASZYN 1</v>
      </c>
      <c r="B38" s="20" t="str">
        <f>A5</f>
        <v>UKS LESZNOWOLA 2</v>
      </c>
      <c r="C38" s="12">
        <v>7</v>
      </c>
      <c r="D38" s="12" t="s">
        <v>31</v>
      </c>
      <c r="E38" s="12">
        <v>11</v>
      </c>
    </row>
    <row r="39" spans="1:5">
      <c r="A39" s="20" t="str">
        <f t="shared" si="21"/>
        <v>MOS WOLA 1</v>
      </c>
      <c r="B39" s="20" t="str">
        <f>A4</f>
        <v>AT RADOM 1</v>
      </c>
      <c r="C39" s="12">
        <v>12</v>
      </c>
      <c r="D39" s="12" t="s">
        <v>31</v>
      </c>
      <c r="E39" s="12">
        <v>10</v>
      </c>
    </row>
    <row r="40" spans="1:5">
      <c r="A40" s="20" t="str">
        <f t="shared" si="21"/>
        <v>ASTW 1</v>
      </c>
      <c r="B40" s="20" t="str">
        <f>A12</f>
        <v>G-8 BIELANY 1</v>
      </c>
      <c r="C40" s="12">
        <v>4</v>
      </c>
      <c r="D40" s="12" t="s">
        <v>31</v>
      </c>
      <c r="E40" s="12">
        <v>11</v>
      </c>
    </row>
    <row r="41" spans="1:5">
      <c r="A41" s="20" t="str">
        <f t="shared" si="21"/>
        <v>G-8 BIELANY 2</v>
      </c>
      <c r="B41" s="20" t="str">
        <f>A11</f>
        <v>METRO WARSZAWA 2</v>
      </c>
      <c r="C41" s="12">
        <v>6</v>
      </c>
      <c r="D41" s="12" t="s">
        <v>31</v>
      </c>
      <c r="E41" s="12">
        <v>11</v>
      </c>
    </row>
    <row r="42" spans="1:5">
      <c r="A42" s="20" t="str">
        <f>A13</f>
        <v>METRO WARSZAWA 1</v>
      </c>
      <c r="B42" s="20" t="str">
        <f>A11</f>
        <v>METRO WARSZAWA 2</v>
      </c>
      <c r="C42" s="12">
        <v>3</v>
      </c>
      <c r="D42" s="12" t="s">
        <v>31</v>
      </c>
      <c r="E42" s="12">
        <v>11</v>
      </c>
    </row>
    <row r="43" spans="1:5">
      <c r="A43" s="20" t="str">
        <f>A12</f>
        <v>G-8 BIELANY 1</v>
      </c>
      <c r="B43" s="20" t="str">
        <f>A10</f>
        <v>G-8 BIELANY 2</v>
      </c>
      <c r="C43" s="12">
        <v>8</v>
      </c>
      <c r="D43" s="12" t="s">
        <v>31</v>
      </c>
      <c r="E43" s="12">
        <v>11</v>
      </c>
    </row>
    <row r="44" spans="1:5">
      <c r="A44" s="20" t="str">
        <f t="shared" ref="A44:A51" si="22">A4</f>
        <v>AT RADOM 1</v>
      </c>
      <c r="B44" s="20" t="str">
        <f>A9</f>
        <v>ASTW 1</v>
      </c>
      <c r="C44" s="12">
        <v>11</v>
      </c>
      <c r="D44" s="12" t="s">
        <v>31</v>
      </c>
      <c r="E44" s="12">
        <v>5</v>
      </c>
    </row>
    <row r="45" spans="1:5">
      <c r="A45" s="20" t="str">
        <f t="shared" si="22"/>
        <v>UKS LESZNOWOLA 2</v>
      </c>
      <c r="B45" s="20" t="str">
        <f>A8</f>
        <v>MOS WOLA 1</v>
      </c>
      <c r="C45" s="12">
        <v>5</v>
      </c>
      <c r="D45" s="12" t="s">
        <v>31</v>
      </c>
      <c r="E45" s="12">
        <v>11</v>
      </c>
    </row>
    <row r="46" spans="1:5">
      <c r="A46" s="20" t="str">
        <f t="shared" si="22"/>
        <v>ISKRA WARSZAWA 4</v>
      </c>
      <c r="B46" s="20" t="str">
        <f>A7</f>
        <v>ORLĘTA RASZYN 1</v>
      </c>
      <c r="C46" s="12">
        <v>11</v>
      </c>
      <c r="D46" s="12" t="s">
        <v>31</v>
      </c>
      <c r="E46" s="12">
        <v>0</v>
      </c>
    </row>
    <row r="47" spans="1:5">
      <c r="A47" s="20" t="str">
        <f t="shared" si="22"/>
        <v>ORLĘTA RASZYN 1</v>
      </c>
      <c r="B47" s="20" t="str">
        <f>A13</f>
        <v>METRO WARSZAWA 1</v>
      </c>
      <c r="C47" s="12">
        <v>11</v>
      </c>
      <c r="D47" s="12" t="s">
        <v>31</v>
      </c>
      <c r="E47" s="12">
        <v>4</v>
      </c>
    </row>
    <row r="48" spans="1:5">
      <c r="A48" s="20" t="str">
        <f t="shared" si="22"/>
        <v>MOS WOLA 1</v>
      </c>
      <c r="B48" s="20" t="str">
        <f>A6</f>
        <v>ISKRA WARSZAWA 4</v>
      </c>
      <c r="C48" s="12">
        <v>5</v>
      </c>
      <c r="D48" s="12" t="s">
        <v>31</v>
      </c>
      <c r="E48" s="12">
        <v>11</v>
      </c>
    </row>
    <row r="49" spans="1:5">
      <c r="A49" s="20" t="str">
        <f t="shared" si="22"/>
        <v>ASTW 1</v>
      </c>
      <c r="B49" s="20" t="str">
        <f>A5</f>
        <v>UKS LESZNOWOLA 2</v>
      </c>
      <c r="C49" s="12">
        <v>7</v>
      </c>
      <c r="D49" s="12" t="s">
        <v>31</v>
      </c>
      <c r="E49" s="12">
        <v>11</v>
      </c>
    </row>
    <row r="50" spans="1:5">
      <c r="A50" s="20" t="str">
        <f t="shared" si="22"/>
        <v>G-8 BIELANY 2</v>
      </c>
      <c r="B50" s="20" t="str">
        <f>A4</f>
        <v>AT RADOM 1</v>
      </c>
      <c r="C50" s="12">
        <v>10</v>
      </c>
      <c r="D50" s="12" t="s">
        <v>31</v>
      </c>
      <c r="E50" s="12">
        <v>12</v>
      </c>
    </row>
    <row r="51" spans="1:5">
      <c r="A51" s="20" t="str">
        <f t="shared" si="22"/>
        <v>METRO WARSZAWA 2</v>
      </c>
      <c r="B51" s="20" t="str">
        <f>A12</f>
        <v>G-8 BIELANY 1</v>
      </c>
      <c r="C51" s="12">
        <v>11</v>
      </c>
      <c r="D51" s="12" t="s">
        <v>31</v>
      </c>
      <c r="E51" s="12">
        <v>8</v>
      </c>
    </row>
    <row r="52" spans="1:5">
      <c r="A52" s="20" t="str">
        <f>A13</f>
        <v>METRO WARSZAWA 1</v>
      </c>
      <c r="B52" s="20" t="str">
        <f>A12</f>
        <v>G-8 BIELANY 1</v>
      </c>
      <c r="C52" s="12">
        <v>2</v>
      </c>
      <c r="D52" s="12" t="s">
        <v>31</v>
      </c>
      <c r="E52" s="12">
        <v>11</v>
      </c>
    </row>
    <row r="53" spans="1:5">
      <c r="A53" s="20" t="str">
        <f t="shared" ref="A53:A61" si="23">A4</f>
        <v>AT RADOM 1</v>
      </c>
      <c r="B53" s="20" t="str">
        <f>A11</f>
        <v>METRO WARSZAWA 2</v>
      </c>
      <c r="C53" s="12">
        <v>8</v>
      </c>
      <c r="D53" s="12" t="s">
        <v>31</v>
      </c>
      <c r="E53" s="12">
        <v>11</v>
      </c>
    </row>
    <row r="54" spans="1:5">
      <c r="A54" s="20" t="str">
        <f t="shared" si="23"/>
        <v>UKS LESZNOWOLA 2</v>
      </c>
      <c r="B54" s="20" t="str">
        <f>A10</f>
        <v>G-8 BIELANY 2</v>
      </c>
      <c r="C54" s="12">
        <v>7</v>
      </c>
      <c r="D54" s="12" t="s">
        <v>31</v>
      </c>
      <c r="E54" s="12">
        <v>11</v>
      </c>
    </row>
    <row r="55" spans="1:5">
      <c r="A55" s="20" t="str">
        <f t="shared" si="23"/>
        <v>ISKRA WARSZAWA 4</v>
      </c>
      <c r="B55" s="20" t="str">
        <f>A9</f>
        <v>ASTW 1</v>
      </c>
      <c r="C55" s="12">
        <v>11</v>
      </c>
      <c r="D55" s="12" t="s">
        <v>31</v>
      </c>
      <c r="E55" s="12">
        <v>4</v>
      </c>
    </row>
    <row r="56" spans="1:5">
      <c r="A56" s="20" t="str">
        <f t="shared" si="23"/>
        <v>ORLĘTA RASZYN 1</v>
      </c>
      <c r="B56" s="20" t="str">
        <f>A8</f>
        <v>MOS WOLA 1</v>
      </c>
      <c r="C56" s="12">
        <v>6</v>
      </c>
      <c r="D56" s="12" t="s">
        <v>31</v>
      </c>
      <c r="E56" s="12">
        <v>11</v>
      </c>
    </row>
    <row r="57" spans="1:5">
      <c r="A57" s="20" t="str">
        <f t="shared" si="23"/>
        <v>MOS WOLA 1</v>
      </c>
      <c r="B57" s="20" t="str">
        <f>A13</f>
        <v>METRO WARSZAWA 1</v>
      </c>
      <c r="C57" s="12">
        <v>11</v>
      </c>
      <c r="D57" s="12" t="s">
        <v>31</v>
      </c>
      <c r="E57" s="12">
        <v>9</v>
      </c>
    </row>
    <row r="58" spans="1:5">
      <c r="A58" s="20" t="str">
        <f t="shared" si="23"/>
        <v>ASTW 1</v>
      </c>
      <c r="B58" s="20" t="str">
        <f>A7</f>
        <v>ORLĘTA RASZYN 1</v>
      </c>
      <c r="C58" s="12">
        <v>8</v>
      </c>
      <c r="D58" s="12" t="s">
        <v>31</v>
      </c>
      <c r="E58" s="12">
        <v>11</v>
      </c>
    </row>
    <row r="59" spans="1:5">
      <c r="A59" s="20" t="str">
        <f t="shared" si="23"/>
        <v>G-8 BIELANY 2</v>
      </c>
      <c r="B59" s="20" t="str">
        <f>A6</f>
        <v>ISKRA WARSZAWA 4</v>
      </c>
      <c r="C59" s="12">
        <v>10</v>
      </c>
      <c r="D59" s="12" t="s">
        <v>31</v>
      </c>
      <c r="E59" s="12">
        <v>12</v>
      </c>
    </row>
    <row r="60" spans="1:5">
      <c r="A60" s="20" t="str">
        <f t="shared" si="23"/>
        <v>METRO WARSZAWA 2</v>
      </c>
      <c r="B60" s="20" t="str">
        <f>A5</f>
        <v>UKS LESZNOWOLA 2</v>
      </c>
      <c r="C60" s="12">
        <v>11</v>
      </c>
      <c r="D60" s="12" t="s">
        <v>31</v>
      </c>
      <c r="E60" s="12">
        <v>6</v>
      </c>
    </row>
    <row r="61" spans="1:5">
      <c r="A61" s="20" t="str">
        <f t="shared" si="23"/>
        <v>G-8 BIELANY 1</v>
      </c>
      <c r="B61" s="20" t="str">
        <f>A4</f>
        <v>AT RADOM 1</v>
      </c>
      <c r="C61" s="12">
        <v>10</v>
      </c>
      <c r="D61" s="12" t="s">
        <v>31</v>
      </c>
      <c r="E61" s="12">
        <v>12</v>
      </c>
    </row>
  </sheetData>
  <autoFilter ref="A16:B61" xr:uid="{0BFFC1BA-F6DC-4669-9EBC-5107D19C20E4}"/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A02F-4939-415E-9397-C91AD48F2E99}">
  <sheetPr>
    <pageSetUpPr fitToPage="1"/>
  </sheetPr>
  <dimension ref="A1:AC61"/>
  <sheetViews>
    <sheetView workbookViewId="0">
      <selection activeCell="C20" sqref="C20"/>
    </sheetView>
  </sheetViews>
  <sheetFormatPr defaultColWidth="8.85546875" defaultRowHeight="15"/>
  <cols>
    <col min="1" max="2" width="22.7109375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3.140625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customWidth="1"/>
    <col min="19" max="19" width="12.7109375" style="2" customWidth="1"/>
    <col min="20" max="26" width="9.140625" style="2" customWidth="1"/>
    <col min="27" max="27" width="7" style="2" customWidth="1"/>
    <col min="28" max="28" width="9.140625" style="2" customWidth="1"/>
    <col min="29" max="29" width="8.85546875" style="2" customWidth="1"/>
    <col min="30" max="16384" width="8.85546875" style="2"/>
  </cols>
  <sheetData>
    <row r="1" spans="1:29" ht="28.5">
      <c r="A1" s="1" t="s">
        <v>33</v>
      </c>
      <c r="S1" s="2" t="s">
        <v>1</v>
      </c>
      <c r="T1" s="2" t="b">
        <f>ROWS(homescore)-COUNT(homescore)=0</f>
        <v>1</v>
      </c>
    </row>
    <row r="2" spans="1:29"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6" t="s">
        <v>9</v>
      </c>
      <c r="P2" s="6" t="s">
        <v>10</v>
      </c>
      <c r="T2" s="7" t="s">
        <v>3</v>
      </c>
      <c r="U2" s="8" t="s">
        <v>11</v>
      </c>
      <c r="V2" s="8" t="s">
        <v>12</v>
      </c>
      <c r="W2" s="9" t="s">
        <v>13</v>
      </c>
      <c r="X2" s="4" t="s">
        <v>14</v>
      </c>
      <c r="Y2" s="8" t="s">
        <v>15</v>
      </c>
      <c r="Z2" s="22" t="s">
        <v>16</v>
      </c>
      <c r="AA2" s="9" t="s">
        <v>12</v>
      </c>
      <c r="AB2" s="9" t="s">
        <v>17</v>
      </c>
      <c r="AC2" s="2" t="s">
        <v>18</v>
      </c>
    </row>
    <row r="3" spans="1:29">
      <c r="A3" s="10" t="s">
        <v>2</v>
      </c>
      <c r="B3" s="11"/>
      <c r="H3" s="12" t="str">
        <f>_xlfn.XLOOKUP(1,$AC$3:$AC$12,$S$3:$S$12)</f>
        <v>VOLLEY RADZIEJOWICE 3</v>
      </c>
      <c r="I3" s="12">
        <f t="shared" ref="I3:I12" si="0">VLOOKUP($H3,$S$3:$AA$12,2,0)</f>
        <v>9</v>
      </c>
      <c r="J3" s="12">
        <f t="shared" ref="J3:J12" si="1">VLOOKUP($H3,$S$3:$AA$12,3,0)</f>
        <v>8</v>
      </c>
      <c r="K3" s="12">
        <f t="shared" ref="K3:K12" si="2">VLOOKUP($H3,$S$3:$AA$12,4,0)</f>
        <v>1</v>
      </c>
      <c r="L3" s="12">
        <f t="shared" ref="L3:L12" si="3">VLOOKUP($H3,$S$3:$AA$12,5,0)</f>
        <v>96</v>
      </c>
      <c r="M3" s="12">
        <f t="shared" ref="M3:M12" si="4">VLOOKUP($H3,$S$3:$AA$12,6,0)</f>
        <v>67</v>
      </c>
      <c r="N3" s="12">
        <f t="shared" ref="N3:N12" si="5">VLOOKUP($H3,$S$3:$AA$12,7,0)</f>
        <v>29</v>
      </c>
      <c r="O3" s="21">
        <f>IF(Tabela14[[#This Row],[STRACONE]]=0,0,Tabela14[[#This Row],[ZDOBYTE]]/Tabela14[[#This Row],[STRACONE]])</f>
        <v>1.4328358208955223</v>
      </c>
      <c r="P3" s="13">
        <f t="shared" ref="P3:P12" si="6">VLOOKUP($H3,$S$3:$AB$12,9,0)</f>
        <v>16</v>
      </c>
      <c r="S3" s="14" t="str">
        <f t="shared" ref="S3:S10" si="7">A4</f>
        <v>VOLLEY RADZIEJOWICE 2</v>
      </c>
      <c r="T3" s="15" cm="1">
        <f t="array" ref="T3">SUM((home=S3)*(ISNUMBER(homescore)),(visitor=S3)*(ISNUMBER(visitorscore)))</f>
        <v>9</v>
      </c>
      <c r="U3" s="3">
        <f t="array" ref="U3">SUM((home=S3)*(homescore&gt;visitorscore),(visitor=S3)*(visitorscore&gt;homescore))</f>
        <v>6</v>
      </c>
      <c r="V3" s="3">
        <f t="array" ref="V3">SUM((home=S3)*(homescore&lt;visitorscore),(visitor=S3)*(visitorscore&lt;homescore))</f>
        <v>3</v>
      </c>
      <c r="W3" s="16">
        <f t="shared" ref="W3" si="8">SUMIF(home,S3,homescore)+SUMIF(visitor,S3,visitorscore)</f>
        <v>90</v>
      </c>
      <c r="X3" s="17">
        <f t="shared" ref="X3" si="9">SUMIF(home,S3,visitorscore)+SUMIF(visitor,S3,homescore)</f>
        <v>67</v>
      </c>
      <c r="Y3" s="3">
        <f>W3-X3</f>
        <v>23</v>
      </c>
      <c r="Z3" s="23">
        <f>IF(X3&gt;0,W3/X3,0)</f>
        <v>1.3432835820895523</v>
      </c>
      <c r="AA3" s="16">
        <f>2*U3</f>
        <v>12</v>
      </c>
      <c r="AB3" s="18">
        <f>W3+Z3*1000+Y3*10000+AA3*100000000</f>
        <v>1200231433.283582</v>
      </c>
      <c r="AC3" s="2">
        <f>RANK(AB3,$AB$3:$AB$12)</f>
        <v>4</v>
      </c>
    </row>
    <row r="4" spans="1:29">
      <c r="A4" s="49" t="s">
        <v>34</v>
      </c>
      <c r="H4" s="12" t="str">
        <f>_xlfn.XLOOKUP(2,$AC$3:$AC$12,$S$3:$S$12)</f>
        <v>VOLLEY RADZIEJOWICE 1</v>
      </c>
      <c r="I4" s="12">
        <f t="shared" si="0"/>
        <v>9</v>
      </c>
      <c r="J4" s="12">
        <f t="shared" si="1"/>
        <v>7</v>
      </c>
      <c r="K4" s="12">
        <f t="shared" si="2"/>
        <v>2</v>
      </c>
      <c r="L4" s="12">
        <f t="shared" si="3"/>
        <v>91</v>
      </c>
      <c r="M4" s="12">
        <f t="shared" si="4"/>
        <v>60</v>
      </c>
      <c r="N4" s="12">
        <f t="shared" si="5"/>
        <v>31</v>
      </c>
      <c r="O4" s="21">
        <f>IF(Tabela14[[#This Row],[STRACONE]]=0,0,Tabela14[[#This Row],[ZDOBYTE]]/Tabela14[[#This Row],[STRACONE]])</f>
        <v>1.5166666666666666</v>
      </c>
      <c r="P4" s="13">
        <f t="shared" si="6"/>
        <v>14</v>
      </c>
      <c r="S4" s="19" t="str">
        <f t="shared" si="7"/>
        <v>VOLLEY RADZIEJOWICE 6</v>
      </c>
      <c r="T4" s="15" cm="1">
        <f t="array" ref="T4">SUM((home=S4)*(ISNUMBER(homescore)),(visitor=S4)*(ISNUMBER(visitorscore)))</f>
        <v>9</v>
      </c>
      <c r="U4" s="3">
        <f t="array" ref="U4">SUM((home=S4)*(homescore&gt;visitorscore),(visitor=S4)*(visitorscore&gt;homescore))</f>
        <v>1</v>
      </c>
      <c r="V4" s="3">
        <f t="array" ref="V4">SUM((home=S4)*(homescore&lt;visitorscore),(visitor=S4)*(visitorscore&lt;homescore))</f>
        <v>8</v>
      </c>
      <c r="W4" s="16">
        <f t="shared" ref="W4" si="10">SUMIF(home,S4,homescore)+SUMIF(visitor,S4,visitorscore)</f>
        <v>46</v>
      </c>
      <c r="X4" s="17">
        <f t="shared" ref="X4" si="11">SUMIF(home,S4,visitorscore)+SUMIF(visitor,S4,homescore)</f>
        <v>98</v>
      </c>
      <c r="Y4" s="3">
        <f t="shared" ref="Y4:Y11" si="12">W4-X4</f>
        <v>-52</v>
      </c>
      <c r="Z4" s="23">
        <f t="shared" ref="Z4:Z11" si="13">IF(X4&gt;0,W4/X4,0)</f>
        <v>0.46938775510204084</v>
      </c>
      <c r="AA4" s="16">
        <f t="shared" ref="AA4:AA11" si="14">2*U4</f>
        <v>2</v>
      </c>
      <c r="AB4" s="18">
        <f t="shared" ref="AB4:AB11" si="15">W4+Z4*1000+Y4*10000+AA4*100000000</f>
        <v>199480515.3877551</v>
      </c>
      <c r="AC4" s="2">
        <f t="shared" ref="AC4:AC12" si="16">RANK(AB4,$AB$3:$AB$12)</f>
        <v>9</v>
      </c>
    </row>
    <row r="5" spans="1:29">
      <c r="A5" s="49" t="s">
        <v>35</v>
      </c>
      <c r="H5" s="12" t="str">
        <f>_xlfn.XLOOKUP(3,$AC$3:$AC$12,$S$3:$S$12)</f>
        <v>UKS LESZNOWOLA 1</v>
      </c>
      <c r="I5" s="12">
        <f t="shared" si="0"/>
        <v>9</v>
      </c>
      <c r="J5" s="12">
        <f t="shared" si="1"/>
        <v>6</v>
      </c>
      <c r="K5" s="12">
        <f t="shared" si="2"/>
        <v>3</v>
      </c>
      <c r="L5" s="12">
        <f t="shared" si="3"/>
        <v>90</v>
      </c>
      <c r="M5" s="12">
        <f t="shared" si="4"/>
        <v>65</v>
      </c>
      <c r="N5" s="12">
        <f t="shared" si="5"/>
        <v>25</v>
      </c>
      <c r="O5" s="21">
        <f>IF(Tabela14[[#This Row],[STRACONE]]=0,0,Tabela14[[#This Row],[ZDOBYTE]]/Tabela14[[#This Row],[STRACONE]])</f>
        <v>1.3846153846153846</v>
      </c>
      <c r="P5" s="13">
        <f t="shared" si="6"/>
        <v>12</v>
      </c>
      <c r="S5" s="19" t="str">
        <f t="shared" si="7"/>
        <v>METRO WARSZAWA 3</v>
      </c>
      <c r="T5" s="15" cm="1">
        <f t="array" ref="T5">SUM((home=S5)*(ISNUMBER(homescore)),(visitor=S5)*(ISNUMBER(visitorscore)))</f>
        <v>9</v>
      </c>
      <c r="U5" s="3">
        <f t="array" ref="U5">SUM((home=S5)*(homescore&gt;visitorscore),(visitor=S5)*(visitorscore&gt;homescore))</f>
        <v>3</v>
      </c>
      <c r="V5" s="3">
        <f t="array" ref="V5">SUM((home=S5)*(homescore&lt;visitorscore),(visitor=S5)*(visitorscore&lt;homescore))</f>
        <v>6</v>
      </c>
      <c r="W5" s="16">
        <f t="shared" ref="W5" si="17">SUMIF(home,S5,homescore)+SUMIF(visitor,S5,visitorscore)</f>
        <v>53</v>
      </c>
      <c r="X5" s="17">
        <f t="shared" ref="X5" si="18">SUMIF(home,S5,visitorscore)+SUMIF(visitor,S5,homescore)</f>
        <v>81</v>
      </c>
      <c r="Y5" s="3">
        <f t="shared" si="12"/>
        <v>-28</v>
      </c>
      <c r="Z5" s="23">
        <f t="shared" si="13"/>
        <v>0.65432098765432101</v>
      </c>
      <c r="AA5" s="16">
        <f t="shared" si="14"/>
        <v>6</v>
      </c>
      <c r="AB5" s="18">
        <f t="shared" si="15"/>
        <v>599720707.3209877</v>
      </c>
      <c r="AC5" s="2">
        <f t="shared" si="16"/>
        <v>8</v>
      </c>
    </row>
    <row r="6" spans="1:29">
      <c r="A6" s="49" t="s">
        <v>36</v>
      </c>
      <c r="H6" s="12" t="str">
        <f>_xlfn.XLOOKUP(4,$AC$3:$AC$12,$S$3:$S$12)</f>
        <v>VOLLEY RADZIEJOWICE 2</v>
      </c>
      <c r="I6" s="12">
        <f t="shared" si="0"/>
        <v>9</v>
      </c>
      <c r="J6" s="12">
        <f t="shared" si="1"/>
        <v>6</v>
      </c>
      <c r="K6" s="12">
        <f t="shared" si="2"/>
        <v>3</v>
      </c>
      <c r="L6" s="12">
        <f t="shared" si="3"/>
        <v>90</v>
      </c>
      <c r="M6" s="12">
        <f t="shared" si="4"/>
        <v>67</v>
      </c>
      <c r="N6" s="12">
        <f t="shared" si="5"/>
        <v>23</v>
      </c>
      <c r="O6" s="21">
        <f>IF(Tabela14[[#This Row],[STRACONE]]=0,0,Tabela14[[#This Row],[ZDOBYTE]]/Tabela14[[#This Row],[STRACONE]])</f>
        <v>1.3432835820895523</v>
      </c>
      <c r="P6" s="13">
        <f t="shared" si="6"/>
        <v>12</v>
      </c>
      <c r="S6" s="19" t="str">
        <f t="shared" si="7"/>
        <v>VOLLEY RADZIEJOWICE 3</v>
      </c>
      <c r="T6" s="15" cm="1">
        <f t="array" ref="T6">SUM((home=S6)*(ISNUMBER(homescore)),(visitor=S6)*(ISNUMBER(visitorscore)))</f>
        <v>9</v>
      </c>
      <c r="U6" s="3">
        <f t="array" ref="U6">SUM((home=S6)*(homescore&gt;visitorscore),(visitor=S6)*(visitorscore&gt;homescore))</f>
        <v>8</v>
      </c>
      <c r="V6" s="3">
        <f t="array" ref="V6">SUM((home=S6)*(homescore&lt;visitorscore),(visitor=S6)*(visitorscore&lt;homescore))</f>
        <v>1</v>
      </c>
      <c r="W6" s="16">
        <f t="shared" ref="W6" si="19">SUMIF(home,S6,homescore)+SUMIF(visitor,S6,visitorscore)</f>
        <v>96</v>
      </c>
      <c r="X6" s="17">
        <f t="shared" ref="X6" si="20">SUMIF(home,S6,visitorscore)+SUMIF(visitor,S6,homescore)</f>
        <v>67</v>
      </c>
      <c r="Y6" s="3">
        <f t="shared" si="12"/>
        <v>29</v>
      </c>
      <c r="Z6" s="23">
        <f t="shared" si="13"/>
        <v>1.4328358208955223</v>
      </c>
      <c r="AA6" s="16">
        <f t="shared" si="14"/>
        <v>16</v>
      </c>
      <c r="AB6" s="18">
        <f t="shared" si="15"/>
        <v>1600291528.8358209</v>
      </c>
      <c r="AC6" s="2">
        <f t="shared" si="16"/>
        <v>1</v>
      </c>
    </row>
    <row r="7" spans="1:29">
      <c r="A7" s="49" t="s">
        <v>37</v>
      </c>
      <c r="H7" s="12" t="str">
        <f>_xlfn.XLOOKUP(5,$AC$3:$AC$12,$S$3:$S$12)</f>
        <v>RCS RADOM 5</v>
      </c>
      <c r="I7" s="12">
        <f t="shared" si="0"/>
        <v>9</v>
      </c>
      <c r="J7" s="12">
        <f t="shared" si="1"/>
        <v>5</v>
      </c>
      <c r="K7" s="12">
        <f t="shared" si="2"/>
        <v>4</v>
      </c>
      <c r="L7" s="12">
        <f t="shared" si="3"/>
        <v>84</v>
      </c>
      <c r="M7" s="12">
        <f t="shared" si="4"/>
        <v>57</v>
      </c>
      <c r="N7" s="12">
        <f t="shared" si="5"/>
        <v>27</v>
      </c>
      <c r="O7" s="21">
        <f>IF(Tabela14[[#This Row],[STRACONE]]=0,0,Tabela14[[#This Row],[ZDOBYTE]]/Tabela14[[#This Row],[STRACONE]])</f>
        <v>1.4736842105263157</v>
      </c>
      <c r="P7" s="13">
        <f t="shared" si="6"/>
        <v>10</v>
      </c>
      <c r="S7" s="19" t="str">
        <f t="shared" si="7"/>
        <v>UKS LESZNOWOLA 1</v>
      </c>
      <c r="T7" s="15" cm="1">
        <f t="array" ref="T7">SUM((home=S7)*(ISNUMBER(homescore)),(visitor=S7)*(ISNUMBER(visitorscore)))</f>
        <v>9</v>
      </c>
      <c r="U7" s="3">
        <f t="array" ref="U7">SUM((home=S7)*(homescore&gt;visitorscore),(visitor=S7)*(visitorscore&gt;homescore))</f>
        <v>6</v>
      </c>
      <c r="V7" s="3">
        <f t="array" ref="V7">SUM((home=S7)*(homescore&lt;visitorscore),(visitor=S7)*(visitorscore&lt;homescore))</f>
        <v>3</v>
      </c>
      <c r="W7" s="16">
        <f t="shared" ref="W7" si="21">SUMIF(home,S7,homescore)+SUMIF(visitor,S7,visitorscore)</f>
        <v>90</v>
      </c>
      <c r="X7" s="17">
        <f t="shared" ref="X7" si="22">SUMIF(home,S7,visitorscore)+SUMIF(visitor,S7,homescore)</f>
        <v>65</v>
      </c>
      <c r="Y7" s="3">
        <f t="shared" si="12"/>
        <v>25</v>
      </c>
      <c r="Z7" s="23">
        <f t="shared" si="13"/>
        <v>1.3846153846153846</v>
      </c>
      <c r="AA7" s="16">
        <f t="shared" si="14"/>
        <v>12</v>
      </c>
      <c r="AB7" s="18">
        <f t="shared" si="15"/>
        <v>1200251474.6153846</v>
      </c>
      <c r="AC7" s="2">
        <f t="shared" si="16"/>
        <v>3</v>
      </c>
    </row>
    <row r="8" spans="1:29">
      <c r="A8" s="49" t="s">
        <v>38</v>
      </c>
      <c r="H8" s="12" t="str">
        <f>_xlfn.XLOOKUP(6,$AC$3:$AC$12,$S$3:$S$12)</f>
        <v>AT RADOM 2</v>
      </c>
      <c r="I8" s="12">
        <f t="shared" si="0"/>
        <v>9</v>
      </c>
      <c r="J8" s="12">
        <f t="shared" si="1"/>
        <v>5</v>
      </c>
      <c r="K8" s="12">
        <f t="shared" si="2"/>
        <v>4</v>
      </c>
      <c r="L8" s="12">
        <f t="shared" si="3"/>
        <v>83</v>
      </c>
      <c r="M8" s="12">
        <f t="shared" si="4"/>
        <v>63</v>
      </c>
      <c r="N8" s="12">
        <f t="shared" si="5"/>
        <v>20</v>
      </c>
      <c r="O8" s="21">
        <f>IF(Tabela14[[#This Row],[STRACONE]]=0,0,Tabela14[[#This Row],[ZDOBYTE]]/Tabela14[[#This Row],[STRACONE]])</f>
        <v>1.3174603174603174</v>
      </c>
      <c r="P8" s="13">
        <f t="shared" si="6"/>
        <v>10</v>
      </c>
      <c r="S8" s="19" t="str">
        <f t="shared" si="7"/>
        <v>RCS RADOM 5</v>
      </c>
      <c r="T8" s="15" cm="1">
        <f t="array" ref="T8">SUM((home=S8)*(ISNUMBER(homescore)),(visitor=S8)*(ISNUMBER(visitorscore)))</f>
        <v>9</v>
      </c>
      <c r="U8" s="3">
        <f t="array" ref="U8">SUM((home=S8)*(homescore&gt;visitorscore),(visitor=S8)*(visitorscore&gt;homescore))</f>
        <v>5</v>
      </c>
      <c r="V8" s="3">
        <f t="array" ref="V8">SUM((home=S8)*(homescore&lt;visitorscore),(visitor=S8)*(visitorscore&lt;homescore))</f>
        <v>4</v>
      </c>
      <c r="W8" s="16">
        <f t="shared" ref="W8" si="23">SUMIF(home,S8,homescore)+SUMIF(visitor,S8,visitorscore)</f>
        <v>84</v>
      </c>
      <c r="X8" s="17">
        <f t="shared" ref="X8" si="24">SUMIF(home,S8,visitorscore)+SUMIF(visitor,S8,homescore)</f>
        <v>57</v>
      </c>
      <c r="Y8" s="3">
        <f t="shared" si="12"/>
        <v>27</v>
      </c>
      <c r="Z8" s="23">
        <f t="shared" si="13"/>
        <v>1.4736842105263157</v>
      </c>
      <c r="AA8" s="16">
        <f t="shared" si="14"/>
        <v>10</v>
      </c>
      <c r="AB8" s="18">
        <f t="shared" si="15"/>
        <v>1000271557.6842105</v>
      </c>
      <c r="AC8" s="2">
        <f t="shared" si="16"/>
        <v>5</v>
      </c>
    </row>
    <row r="9" spans="1:29">
      <c r="A9" s="49" t="s">
        <v>39</v>
      </c>
      <c r="H9" s="12" t="str">
        <f>_xlfn.XLOOKUP(7,$AC$3:$AC$12,$S$3:$S$12)</f>
        <v>RCS RADOM 2</v>
      </c>
      <c r="I9" s="12">
        <f t="shared" si="0"/>
        <v>9</v>
      </c>
      <c r="J9" s="12">
        <f t="shared" si="1"/>
        <v>3</v>
      </c>
      <c r="K9" s="12">
        <f t="shared" si="2"/>
        <v>6</v>
      </c>
      <c r="L9" s="12">
        <f t="shared" si="3"/>
        <v>81</v>
      </c>
      <c r="M9" s="12">
        <f t="shared" si="4"/>
        <v>82</v>
      </c>
      <c r="N9" s="12">
        <f t="shared" si="5"/>
        <v>-1</v>
      </c>
      <c r="O9" s="21">
        <f>IF(Tabela14[[#This Row],[STRACONE]]=0,0,Tabela14[[#This Row],[ZDOBYTE]]/Tabela14[[#This Row],[STRACONE]])</f>
        <v>0.98780487804878048</v>
      </c>
      <c r="P9" s="13">
        <f t="shared" si="6"/>
        <v>6</v>
      </c>
      <c r="S9" s="19" t="str">
        <f t="shared" si="7"/>
        <v>AT RADOM 2</v>
      </c>
      <c r="T9" s="15" cm="1">
        <f t="array" ref="T9">SUM((home=S9)*(ISNUMBER(homescore)),(visitor=S9)*(ISNUMBER(visitorscore)))</f>
        <v>9</v>
      </c>
      <c r="U9" s="3">
        <f t="array" ref="U9">SUM((home=S9)*(homescore&gt;visitorscore),(visitor=S9)*(visitorscore&gt;homescore))</f>
        <v>5</v>
      </c>
      <c r="V9" s="3">
        <f t="array" ref="V9">SUM((home=S9)*(homescore&lt;visitorscore),(visitor=S9)*(visitorscore&lt;homescore))</f>
        <v>4</v>
      </c>
      <c r="W9" s="16">
        <f t="shared" ref="W9" si="25">SUMIF(home,S9,homescore)+SUMIF(visitor,S9,visitorscore)</f>
        <v>83</v>
      </c>
      <c r="X9" s="17">
        <f t="shared" ref="X9" si="26">SUMIF(home,S9,visitorscore)+SUMIF(visitor,S9,homescore)</f>
        <v>63</v>
      </c>
      <c r="Y9" s="3">
        <f t="shared" si="12"/>
        <v>20</v>
      </c>
      <c r="Z9" s="23">
        <f t="shared" si="13"/>
        <v>1.3174603174603174</v>
      </c>
      <c r="AA9" s="16">
        <f t="shared" si="14"/>
        <v>10</v>
      </c>
      <c r="AB9" s="18">
        <f t="shared" si="15"/>
        <v>1000201400.4603175</v>
      </c>
      <c r="AC9" s="2">
        <f t="shared" si="16"/>
        <v>6</v>
      </c>
    </row>
    <row r="10" spans="1:29">
      <c r="A10" s="49" t="s">
        <v>40</v>
      </c>
      <c r="H10" s="12" t="str">
        <f>_xlfn.XLOOKUP(8,$AC$3:$AC$12,$S$3:$S$12)</f>
        <v>METRO WARSZAWA 3</v>
      </c>
      <c r="I10" s="12">
        <f t="shared" si="0"/>
        <v>9</v>
      </c>
      <c r="J10" s="12">
        <f t="shared" si="1"/>
        <v>3</v>
      </c>
      <c r="K10" s="12">
        <f t="shared" si="2"/>
        <v>6</v>
      </c>
      <c r="L10" s="12">
        <f t="shared" si="3"/>
        <v>53</v>
      </c>
      <c r="M10" s="12">
        <f t="shared" si="4"/>
        <v>81</v>
      </c>
      <c r="N10" s="12">
        <f t="shared" si="5"/>
        <v>-28</v>
      </c>
      <c r="O10" s="21">
        <f>IF(Tabela14[[#This Row],[STRACONE]]=0,0,Tabela14[[#This Row],[ZDOBYTE]]/Tabela14[[#This Row],[STRACONE]])</f>
        <v>0.65432098765432101</v>
      </c>
      <c r="P10" s="13">
        <f t="shared" si="6"/>
        <v>6</v>
      </c>
      <c r="S10" s="19" t="str">
        <f t="shared" si="7"/>
        <v>VOLLEY RADZIEJOWICE 1</v>
      </c>
      <c r="T10" s="15" cm="1">
        <f t="array" ref="T10">SUM((home=S10)*(ISNUMBER(homescore)),(visitor=S10)*(ISNUMBER(visitorscore)))</f>
        <v>9</v>
      </c>
      <c r="U10" s="3">
        <f t="array" ref="U10">SUM((home=S10)*(homescore&gt;visitorscore),(visitor=S10)*(visitorscore&gt;homescore))</f>
        <v>7</v>
      </c>
      <c r="V10" s="3">
        <f t="array" ref="V10">SUM((home=S10)*(homescore&lt;visitorscore),(visitor=S10)*(visitorscore&lt;homescore))</f>
        <v>2</v>
      </c>
      <c r="W10" s="16">
        <f t="shared" ref="W10" si="27">SUMIF(home,S10,homescore)+SUMIF(visitor,S10,visitorscore)</f>
        <v>91</v>
      </c>
      <c r="X10" s="17">
        <f t="shared" ref="X10" si="28">SUMIF(home,S10,visitorscore)+SUMIF(visitor,S10,homescore)</f>
        <v>60</v>
      </c>
      <c r="Y10" s="3">
        <f t="shared" si="12"/>
        <v>31</v>
      </c>
      <c r="Z10" s="23">
        <f t="shared" si="13"/>
        <v>1.5166666666666666</v>
      </c>
      <c r="AA10" s="16">
        <f t="shared" si="14"/>
        <v>14</v>
      </c>
      <c r="AB10" s="18">
        <f t="shared" si="15"/>
        <v>1400311607.6666667</v>
      </c>
      <c r="AC10" s="2">
        <f t="shared" si="16"/>
        <v>2</v>
      </c>
    </row>
    <row r="11" spans="1:29">
      <c r="A11" s="49" t="s">
        <v>41</v>
      </c>
      <c r="H11" s="12" t="str">
        <f>_xlfn.XLOOKUP(9,$AC$3:$AC$12,$S$3:$S$12)</f>
        <v>VOLLEY RADZIEJOWICE 6</v>
      </c>
      <c r="I11" s="12">
        <f t="shared" si="0"/>
        <v>9</v>
      </c>
      <c r="J11" s="12">
        <f t="shared" si="1"/>
        <v>1</v>
      </c>
      <c r="K11" s="12">
        <f t="shared" si="2"/>
        <v>8</v>
      </c>
      <c r="L11" s="12">
        <f t="shared" si="3"/>
        <v>46</v>
      </c>
      <c r="M11" s="12">
        <f t="shared" si="4"/>
        <v>98</v>
      </c>
      <c r="N11" s="12">
        <f t="shared" si="5"/>
        <v>-52</v>
      </c>
      <c r="O11" s="21">
        <f>IF(Tabela14[[#This Row],[STRACONE]]=0,0,Tabela14[[#This Row],[ZDOBYTE]]/Tabela14[[#This Row],[STRACONE]])</f>
        <v>0.46938775510204084</v>
      </c>
      <c r="P11" s="13">
        <f t="shared" si="6"/>
        <v>2</v>
      </c>
      <c r="S11" s="19" t="str">
        <f>A12</f>
        <v>METRO WARSZAWA 4</v>
      </c>
      <c r="T11" s="15" cm="1">
        <f t="array" ref="T11">SUM((home=S11)*(ISNUMBER(homescore)),(visitor=S11)*(ISNUMBER(visitorscore)))</f>
        <v>9</v>
      </c>
      <c r="U11" s="3">
        <f t="array" ref="U11">SUM((home=S11)*(homescore&gt;visitorscore),(visitor=S11)*(visitorscore&gt;homescore))</f>
        <v>1</v>
      </c>
      <c r="V11" s="3">
        <f t="array" ref="V11">SUM((home=S11)*(homescore&lt;visitorscore),(visitor=S11)*(visitorscore&lt;homescore))</f>
        <v>8</v>
      </c>
      <c r="W11" s="16">
        <f t="shared" ref="W11" si="29">SUMIF(home,S11,homescore)+SUMIF(visitor,S11,visitorscore)</f>
        <v>18</v>
      </c>
      <c r="X11" s="17">
        <f t="shared" ref="X11" si="30">SUMIF(home,S11,visitorscore)+SUMIF(visitor,S11,homescore)</f>
        <v>92</v>
      </c>
      <c r="Y11" s="3">
        <f t="shared" si="12"/>
        <v>-74</v>
      </c>
      <c r="Z11" s="23">
        <f t="shared" si="13"/>
        <v>0.19565217391304349</v>
      </c>
      <c r="AA11" s="16">
        <f t="shared" si="14"/>
        <v>2</v>
      </c>
      <c r="AB11" s="18">
        <f t="shared" si="15"/>
        <v>199260213.65217391</v>
      </c>
      <c r="AC11" s="2">
        <f t="shared" si="16"/>
        <v>10</v>
      </c>
    </row>
    <row r="12" spans="1:29">
      <c r="A12" s="49" t="s">
        <v>42</v>
      </c>
      <c r="H12" s="12" t="str">
        <f>_xlfn.XLOOKUP(10,$AC$3:$AC$12,$S$3:$S$12)</f>
        <v>METRO WARSZAWA 4</v>
      </c>
      <c r="I12" s="12">
        <f t="shared" si="0"/>
        <v>9</v>
      </c>
      <c r="J12" s="12">
        <f t="shared" si="1"/>
        <v>1</v>
      </c>
      <c r="K12" s="12">
        <f t="shared" si="2"/>
        <v>8</v>
      </c>
      <c r="L12" s="12">
        <f t="shared" si="3"/>
        <v>18</v>
      </c>
      <c r="M12" s="12">
        <f t="shared" si="4"/>
        <v>92</v>
      </c>
      <c r="N12" s="12">
        <f t="shared" si="5"/>
        <v>-74</v>
      </c>
      <c r="O12" s="21">
        <f>IF(Tabela14[[#This Row],[STRACONE]]=0,0,Tabela14[[#This Row],[ZDOBYTE]]/Tabela14[[#This Row],[STRACONE]])</f>
        <v>0.19565217391304349</v>
      </c>
      <c r="P12" s="13">
        <f t="shared" si="6"/>
        <v>2</v>
      </c>
      <c r="S12" s="24" t="str">
        <f t="shared" ref="S12" si="31">A13</f>
        <v>RCS RADOM 2</v>
      </c>
      <c r="T12" s="15" cm="1">
        <f t="array" ref="T12">SUM((home=S12)*(ISNUMBER(homescore)),(visitor=S12)*(ISNUMBER(visitorscore)))</f>
        <v>9</v>
      </c>
      <c r="U12" s="3">
        <f t="array" ref="U12">SUM((home=S12)*(homescore&gt;visitorscore),(visitor=S12)*(visitorscore&gt;homescore))</f>
        <v>3</v>
      </c>
      <c r="V12" s="3">
        <f t="array" ref="V12">SUM((home=S12)*(homescore&lt;visitorscore),(visitor=S12)*(visitorscore&lt;homescore))</f>
        <v>6</v>
      </c>
      <c r="W12" s="16">
        <f t="shared" ref="W12" si="32">SUMIF(home,S12,homescore)+SUMIF(visitor,S12,visitorscore)</f>
        <v>81</v>
      </c>
      <c r="X12" s="17">
        <f t="shared" ref="X12" si="33">SUMIF(home,S12,visitorscore)+SUMIF(visitor,S12,homescore)</f>
        <v>82</v>
      </c>
      <c r="Y12" s="3">
        <f>W12-X12</f>
        <v>-1</v>
      </c>
      <c r="Z12" s="23">
        <f>IF(X12&gt;0,W12/X12,0)</f>
        <v>0.98780487804878048</v>
      </c>
      <c r="AA12" s="16">
        <f>2*U12</f>
        <v>6</v>
      </c>
      <c r="AB12" s="18">
        <f>W12+Z12*1000+Y12*10000+AA12*100000000</f>
        <v>599991068.804878</v>
      </c>
      <c r="AC12" s="2">
        <f t="shared" si="16"/>
        <v>7</v>
      </c>
    </row>
    <row r="13" spans="1:29">
      <c r="A13" s="49" t="s">
        <v>43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10" t="s">
        <v>29</v>
      </c>
      <c r="B16" s="10" t="s">
        <v>30</v>
      </c>
      <c r="H16"/>
      <c r="I16"/>
      <c r="J16"/>
      <c r="K16"/>
      <c r="L16"/>
      <c r="M16"/>
      <c r="N16"/>
      <c r="O16"/>
      <c r="P16"/>
    </row>
    <row r="17" spans="1:29">
      <c r="A17" s="20" t="str">
        <f>A4</f>
        <v>VOLLEY RADZIEJOWICE 2</v>
      </c>
      <c r="B17" s="20" t="str">
        <f>A13</f>
        <v>RCS RADOM 2</v>
      </c>
      <c r="C17" s="12">
        <v>7</v>
      </c>
      <c r="D17" s="12" t="s">
        <v>31</v>
      </c>
      <c r="E17" s="12">
        <v>11</v>
      </c>
      <c r="H17"/>
      <c r="I17"/>
      <c r="J17"/>
      <c r="K17"/>
      <c r="L17"/>
      <c r="M17"/>
      <c r="N17"/>
      <c r="O17"/>
      <c r="P17"/>
    </row>
    <row r="18" spans="1:29">
      <c r="A18" s="20" t="str">
        <f>A5</f>
        <v>VOLLEY RADZIEJOWICE 6</v>
      </c>
      <c r="B18" s="20" t="str">
        <f>A12</f>
        <v>METRO WARSZAWA 4</v>
      </c>
      <c r="C18" s="12">
        <v>4</v>
      </c>
      <c r="D18" s="12" t="s">
        <v>31</v>
      </c>
      <c r="E18" s="12">
        <v>11</v>
      </c>
      <c r="F18" s="3"/>
      <c r="H18"/>
      <c r="I18"/>
      <c r="J18"/>
      <c r="K18"/>
      <c r="L18"/>
      <c r="M18"/>
      <c r="N18"/>
      <c r="O18"/>
      <c r="P18"/>
    </row>
    <row r="19" spans="1:29">
      <c r="A19" s="20" t="str">
        <f>A6</f>
        <v>METRO WARSZAWA 3</v>
      </c>
      <c r="B19" s="20" t="str">
        <f>A11</f>
        <v>VOLLEY RADZIEJOWICE 1</v>
      </c>
      <c r="C19" s="12">
        <v>6</v>
      </c>
      <c r="D19" s="12" t="s">
        <v>31</v>
      </c>
      <c r="E19" s="12">
        <v>11</v>
      </c>
      <c r="F19" s="3"/>
      <c r="H19"/>
      <c r="I19"/>
      <c r="J19"/>
      <c r="K19"/>
      <c r="L19"/>
      <c r="M19"/>
      <c r="N19"/>
      <c r="O19"/>
      <c r="P19"/>
    </row>
    <row r="20" spans="1:29">
      <c r="A20" s="20" t="str">
        <f>A7</f>
        <v>VOLLEY RADZIEJOWICE 3</v>
      </c>
      <c r="B20" s="20" t="str">
        <f>A10</f>
        <v>AT RADOM 2</v>
      </c>
      <c r="C20" s="12">
        <v>11</v>
      </c>
      <c r="D20" s="12" t="s">
        <v>31</v>
      </c>
      <c r="E20" s="12">
        <v>7</v>
      </c>
      <c r="F20" s="3"/>
      <c r="H20"/>
      <c r="I20"/>
      <c r="J20"/>
      <c r="K20"/>
      <c r="L20"/>
      <c r="M20"/>
      <c r="N20"/>
      <c r="O20"/>
      <c r="P20"/>
    </row>
    <row r="21" spans="1:29">
      <c r="A21" s="20" t="str">
        <f>A8</f>
        <v>UKS LESZNOWOLA 1</v>
      </c>
      <c r="B21" s="20" t="str">
        <f>A9</f>
        <v>RCS RADOM 5</v>
      </c>
      <c r="C21" s="12">
        <v>11</v>
      </c>
      <c r="D21" s="12" t="s">
        <v>31</v>
      </c>
      <c r="E21" s="12">
        <v>8</v>
      </c>
      <c r="F21" s="3"/>
      <c r="H21"/>
      <c r="I21"/>
      <c r="J21"/>
      <c r="K21"/>
      <c r="L21"/>
      <c r="M21"/>
      <c r="N21"/>
      <c r="O21"/>
      <c r="P21"/>
    </row>
    <row r="22" spans="1:29">
      <c r="A22" s="20" t="str">
        <f>A13</f>
        <v>RCS RADOM 2</v>
      </c>
      <c r="B22" s="20" t="str">
        <f>A9</f>
        <v>RCS RADOM 5</v>
      </c>
      <c r="C22" s="12">
        <v>9</v>
      </c>
      <c r="D22" s="12" t="s">
        <v>31</v>
      </c>
      <c r="E22" s="12">
        <v>11</v>
      </c>
      <c r="F22" s="3"/>
      <c r="H22"/>
      <c r="I22"/>
      <c r="J22"/>
      <c r="K22"/>
      <c r="L22"/>
      <c r="M22"/>
      <c r="N22"/>
      <c r="O22"/>
      <c r="P22"/>
    </row>
    <row r="23" spans="1:29">
      <c r="A23" s="20" t="str">
        <f>A10</f>
        <v>AT RADOM 2</v>
      </c>
      <c r="B23" s="20" t="str">
        <f>A8</f>
        <v>UKS LESZNOWOLA 1</v>
      </c>
      <c r="C23" s="12">
        <v>8</v>
      </c>
      <c r="D23" s="12" t="s">
        <v>31</v>
      </c>
      <c r="E23" s="12">
        <v>11</v>
      </c>
      <c r="F23" s="3" t="s">
        <v>32</v>
      </c>
      <c r="H23"/>
      <c r="I23"/>
      <c r="J23"/>
      <c r="K23"/>
      <c r="L23"/>
      <c r="M23"/>
      <c r="N23"/>
      <c r="O23"/>
      <c r="P23"/>
    </row>
    <row r="24" spans="1:29" s="3" customFormat="1">
      <c r="A24" s="20" t="str">
        <f>A11</f>
        <v>VOLLEY RADZIEJOWICE 1</v>
      </c>
      <c r="B24" s="20" t="str">
        <f>A7</f>
        <v>VOLLEY RADZIEJOWICE 3</v>
      </c>
      <c r="C24" s="12">
        <v>4</v>
      </c>
      <c r="D24" s="12" t="s">
        <v>31</v>
      </c>
      <c r="E24" s="12">
        <v>11</v>
      </c>
      <c r="H24"/>
      <c r="I24"/>
      <c r="J24"/>
      <c r="K24"/>
      <c r="L24"/>
      <c r="M24"/>
      <c r="N24"/>
      <c r="O24"/>
      <c r="P2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3" customFormat="1">
      <c r="A25" s="20" t="str">
        <f>A12</f>
        <v>METRO WARSZAWA 4</v>
      </c>
      <c r="B25" s="20" t="str">
        <f>A6</f>
        <v>METRO WARSZAWA 3</v>
      </c>
      <c r="C25" s="12">
        <v>3</v>
      </c>
      <c r="D25" s="12" t="s">
        <v>31</v>
      </c>
      <c r="E25" s="12">
        <v>11</v>
      </c>
      <c r="F25" s="2"/>
      <c r="H25"/>
      <c r="I25"/>
      <c r="J25"/>
      <c r="K25"/>
      <c r="L25"/>
      <c r="M25"/>
      <c r="N25"/>
      <c r="O25"/>
      <c r="P2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3" customFormat="1">
      <c r="A26" s="20" t="str">
        <f t="shared" ref="A26:A31" si="34">A4</f>
        <v>VOLLEY RADZIEJOWICE 2</v>
      </c>
      <c r="B26" s="20" t="str">
        <f>A5</f>
        <v>VOLLEY RADZIEJOWICE 6</v>
      </c>
      <c r="C26" s="12">
        <v>11</v>
      </c>
      <c r="D26" s="12" t="s">
        <v>31</v>
      </c>
      <c r="E26" s="12">
        <v>9</v>
      </c>
      <c r="F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3" customFormat="1">
      <c r="A27" s="20" t="str">
        <f t="shared" si="34"/>
        <v>VOLLEY RADZIEJOWICE 6</v>
      </c>
      <c r="B27" s="20" t="str">
        <f>A13</f>
        <v>RCS RADOM 2</v>
      </c>
      <c r="C27" s="12">
        <v>11</v>
      </c>
      <c r="D27" s="12" t="s">
        <v>31</v>
      </c>
      <c r="E27" s="12">
        <v>10</v>
      </c>
      <c r="F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3" customFormat="1">
      <c r="A28" s="20" t="str">
        <f t="shared" si="34"/>
        <v>METRO WARSZAWA 3</v>
      </c>
      <c r="B28" s="20" t="str">
        <f>A4</f>
        <v>VOLLEY RADZIEJOWICE 2</v>
      </c>
      <c r="C28" s="12">
        <v>3</v>
      </c>
      <c r="D28" s="12" t="s">
        <v>31</v>
      </c>
      <c r="E28" s="12">
        <v>11</v>
      </c>
      <c r="F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3" customFormat="1">
      <c r="A29" s="20" t="str">
        <f t="shared" si="34"/>
        <v>VOLLEY RADZIEJOWICE 3</v>
      </c>
      <c r="B29" s="20" t="str">
        <f>A12</f>
        <v>METRO WARSZAWA 4</v>
      </c>
      <c r="C29" s="12">
        <v>11</v>
      </c>
      <c r="D29" s="12" t="s">
        <v>31</v>
      </c>
      <c r="E29" s="12">
        <v>4</v>
      </c>
      <c r="F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0" t="str">
        <f t="shared" si="34"/>
        <v>UKS LESZNOWOLA 1</v>
      </c>
      <c r="B30" s="20" t="str">
        <f>A11</f>
        <v>VOLLEY RADZIEJOWICE 1</v>
      </c>
      <c r="C30" s="12">
        <v>8</v>
      </c>
      <c r="D30" s="12" t="s">
        <v>31</v>
      </c>
      <c r="E30" s="12">
        <v>11</v>
      </c>
    </row>
    <row r="31" spans="1:29">
      <c r="A31" s="20" t="str">
        <f t="shared" si="34"/>
        <v>RCS RADOM 5</v>
      </c>
      <c r="B31" s="20" t="str">
        <f>A10</f>
        <v>AT RADOM 2</v>
      </c>
      <c r="C31" s="12">
        <v>11</v>
      </c>
      <c r="D31" s="12" t="s">
        <v>31</v>
      </c>
      <c r="E31" s="12">
        <v>4</v>
      </c>
    </row>
    <row r="32" spans="1:29">
      <c r="A32" s="20" t="str">
        <f>A13</f>
        <v>RCS RADOM 2</v>
      </c>
      <c r="B32" s="20" t="str">
        <f>A10</f>
        <v>AT RADOM 2</v>
      </c>
      <c r="C32" s="12">
        <v>11</v>
      </c>
      <c r="D32" s="12" t="s">
        <v>31</v>
      </c>
      <c r="E32" s="12">
        <v>9</v>
      </c>
    </row>
    <row r="33" spans="1:5">
      <c r="A33" s="20" t="str">
        <f>A12</f>
        <v>METRO WARSZAWA 4</v>
      </c>
      <c r="B33" s="20" t="str">
        <f>A8</f>
        <v>UKS LESZNOWOLA 1</v>
      </c>
      <c r="C33" s="12">
        <v>0</v>
      </c>
      <c r="D33" s="12" t="s">
        <v>31</v>
      </c>
      <c r="E33" s="12">
        <v>11</v>
      </c>
    </row>
    <row r="34" spans="1:5">
      <c r="A34" s="20" t="str">
        <f>A11</f>
        <v>VOLLEY RADZIEJOWICE 1</v>
      </c>
      <c r="B34" s="20" t="str">
        <f>A9</f>
        <v>RCS RADOM 5</v>
      </c>
      <c r="C34" s="12">
        <v>11</v>
      </c>
      <c r="D34" s="12" t="s">
        <v>31</v>
      </c>
      <c r="E34" s="12">
        <v>8</v>
      </c>
    </row>
    <row r="35" spans="1:5">
      <c r="A35" s="20" t="str">
        <f t="shared" ref="A35:A41" si="35">A4</f>
        <v>VOLLEY RADZIEJOWICE 2</v>
      </c>
      <c r="B35" s="20" t="str">
        <f>A7</f>
        <v>VOLLEY RADZIEJOWICE 3</v>
      </c>
      <c r="C35" s="12">
        <v>11</v>
      </c>
      <c r="D35" s="12" t="s">
        <v>31</v>
      </c>
      <c r="E35" s="12">
        <v>8</v>
      </c>
    </row>
    <row r="36" spans="1:5">
      <c r="A36" s="20" t="str">
        <f t="shared" si="35"/>
        <v>VOLLEY RADZIEJOWICE 6</v>
      </c>
      <c r="B36" s="20" t="str">
        <f>A6</f>
        <v>METRO WARSZAWA 3</v>
      </c>
      <c r="C36" s="12">
        <v>5</v>
      </c>
      <c r="D36" s="12" t="s">
        <v>31</v>
      </c>
      <c r="E36" s="12">
        <v>11</v>
      </c>
    </row>
    <row r="37" spans="1:5">
      <c r="A37" s="20" t="str">
        <f t="shared" si="35"/>
        <v>METRO WARSZAWA 3</v>
      </c>
      <c r="B37" s="20" t="str">
        <f>A13</f>
        <v>RCS RADOM 2</v>
      </c>
      <c r="C37" s="12">
        <v>11</v>
      </c>
      <c r="D37" s="12" t="s">
        <v>31</v>
      </c>
      <c r="E37" s="12">
        <v>7</v>
      </c>
    </row>
    <row r="38" spans="1:5">
      <c r="A38" s="20" t="str">
        <f t="shared" si="35"/>
        <v>VOLLEY RADZIEJOWICE 3</v>
      </c>
      <c r="B38" s="20" t="str">
        <f>A5</f>
        <v>VOLLEY RADZIEJOWICE 6</v>
      </c>
      <c r="C38" s="12">
        <v>11</v>
      </c>
      <c r="D38" s="12" t="s">
        <v>31</v>
      </c>
      <c r="E38" s="12">
        <v>9</v>
      </c>
    </row>
    <row r="39" spans="1:5">
      <c r="A39" s="20" t="str">
        <f t="shared" si="35"/>
        <v>UKS LESZNOWOLA 1</v>
      </c>
      <c r="B39" s="20" t="str">
        <f>A4</f>
        <v>VOLLEY RADZIEJOWICE 2</v>
      </c>
      <c r="C39" s="12">
        <v>7</v>
      </c>
      <c r="D39" s="12" t="s">
        <v>31</v>
      </c>
      <c r="E39" s="12">
        <v>11</v>
      </c>
    </row>
    <row r="40" spans="1:5">
      <c r="A40" s="20" t="str">
        <f t="shared" si="35"/>
        <v>RCS RADOM 5</v>
      </c>
      <c r="B40" s="20" t="str">
        <f>A12</f>
        <v>METRO WARSZAWA 4</v>
      </c>
      <c r="C40" s="12">
        <v>11</v>
      </c>
      <c r="D40" s="12" t="s">
        <v>31</v>
      </c>
      <c r="E40" s="12">
        <v>0</v>
      </c>
    </row>
    <row r="41" spans="1:5">
      <c r="A41" s="20" t="str">
        <f t="shared" si="35"/>
        <v>AT RADOM 2</v>
      </c>
      <c r="B41" s="20" t="str">
        <f>A11</f>
        <v>VOLLEY RADZIEJOWICE 1</v>
      </c>
      <c r="C41" s="12">
        <v>11</v>
      </c>
      <c r="D41" s="12" t="s">
        <v>31</v>
      </c>
      <c r="E41" s="12">
        <v>10</v>
      </c>
    </row>
    <row r="42" spans="1:5">
      <c r="A42" s="20" t="str">
        <f>A13</f>
        <v>RCS RADOM 2</v>
      </c>
      <c r="B42" s="20" t="str">
        <f>A11</f>
        <v>VOLLEY RADZIEJOWICE 1</v>
      </c>
      <c r="C42" s="12">
        <v>8</v>
      </c>
      <c r="D42" s="12" t="s">
        <v>31</v>
      </c>
      <c r="E42" s="12">
        <v>11</v>
      </c>
    </row>
    <row r="43" spans="1:5">
      <c r="A43" s="20" t="str">
        <f>A12</f>
        <v>METRO WARSZAWA 4</v>
      </c>
      <c r="B43" s="20" t="str">
        <f>A10</f>
        <v>AT RADOM 2</v>
      </c>
      <c r="C43" s="12">
        <v>0</v>
      </c>
      <c r="D43" s="12" t="s">
        <v>31</v>
      </c>
      <c r="E43" s="12">
        <v>11</v>
      </c>
    </row>
    <row r="44" spans="1:5">
      <c r="A44" s="20" t="str">
        <f t="shared" ref="A44:A51" si="36">A4</f>
        <v>VOLLEY RADZIEJOWICE 2</v>
      </c>
      <c r="B44" s="20" t="str">
        <f>A9</f>
        <v>RCS RADOM 5</v>
      </c>
      <c r="C44" s="12">
        <v>11</v>
      </c>
      <c r="D44" s="12" t="s">
        <v>31</v>
      </c>
      <c r="E44" s="12">
        <v>7</v>
      </c>
    </row>
    <row r="45" spans="1:5">
      <c r="A45" s="20" t="str">
        <f t="shared" si="36"/>
        <v>VOLLEY RADZIEJOWICE 6</v>
      </c>
      <c r="B45" s="20" t="str">
        <f>A8</f>
        <v>UKS LESZNOWOLA 1</v>
      </c>
      <c r="C45" s="12">
        <v>8</v>
      </c>
      <c r="D45" s="12" t="s">
        <v>31</v>
      </c>
      <c r="E45" s="12">
        <v>11</v>
      </c>
    </row>
    <row r="46" spans="1:5">
      <c r="A46" s="20" t="str">
        <f t="shared" si="36"/>
        <v>METRO WARSZAWA 3</v>
      </c>
      <c r="B46" s="20" t="str">
        <f>A7</f>
        <v>VOLLEY RADZIEJOWICE 3</v>
      </c>
      <c r="C46" s="12">
        <v>10</v>
      </c>
      <c r="D46" s="12" t="s">
        <v>31</v>
      </c>
      <c r="E46" s="12">
        <v>11</v>
      </c>
    </row>
    <row r="47" spans="1:5">
      <c r="A47" s="20" t="str">
        <f t="shared" si="36"/>
        <v>VOLLEY RADZIEJOWICE 3</v>
      </c>
      <c r="B47" s="20" t="str">
        <f>A13</f>
        <v>RCS RADOM 2</v>
      </c>
      <c r="C47" s="12">
        <v>11</v>
      </c>
      <c r="D47" s="12" t="s">
        <v>31</v>
      </c>
      <c r="E47" s="12">
        <v>7</v>
      </c>
    </row>
    <row r="48" spans="1:5">
      <c r="A48" s="20" t="str">
        <f t="shared" si="36"/>
        <v>UKS LESZNOWOLA 1</v>
      </c>
      <c r="B48" s="20" t="str">
        <f>A6</f>
        <v>METRO WARSZAWA 3</v>
      </c>
      <c r="C48" s="12">
        <v>11</v>
      </c>
      <c r="D48" s="12" t="s">
        <v>31</v>
      </c>
      <c r="E48" s="12">
        <v>1</v>
      </c>
    </row>
    <row r="49" spans="1:5">
      <c r="A49" s="20" t="str">
        <f t="shared" si="36"/>
        <v>RCS RADOM 5</v>
      </c>
      <c r="B49" s="20" t="str">
        <f>A5</f>
        <v>VOLLEY RADZIEJOWICE 6</v>
      </c>
      <c r="C49" s="12">
        <v>11</v>
      </c>
      <c r="D49" s="12" t="s">
        <v>31</v>
      </c>
      <c r="E49" s="12">
        <v>0</v>
      </c>
    </row>
    <row r="50" spans="1:5">
      <c r="A50" s="20" t="str">
        <f t="shared" si="36"/>
        <v>AT RADOM 2</v>
      </c>
      <c r="B50" s="20" t="str">
        <f>A4</f>
        <v>VOLLEY RADZIEJOWICE 2</v>
      </c>
      <c r="C50" s="12">
        <v>11</v>
      </c>
      <c r="D50" s="12" t="s">
        <v>31</v>
      </c>
      <c r="E50" s="12">
        <v>9</v>
      </c>
    </row>
    <row r="51" spans="1:5">
      <c r="A51" s="20" t="str">
        <f t="shared" si="36"/>
        <v>VOLLEY RADZIEJOWICE 1</v>
      </c>
      <c r="B51" s="20" t="str">
        <f>A12</f>
        <v>METRO WARSZAWA 4</v>
      </c>
      <c r="C51" s="12">
        <v>11</v>
      </c>
      <c r="D51" s="12" t="s">
        <v>31</v>
      </c>
      <c r="E51" s="12">
        <v>0</v>
      </c>
    </row>
    <row r="52" spans="1:5">
      <c r="A52" s="20" t="str">
        <f>A13</f>
        <v>RCS RADOM 2</v>
      </c>
      <c r="B52" s="20" t="str">
        <f>A12</f>
        <v>METRO WARSZAWA 4</v>
      </c>
      <c r="C52" s="12">
        <v>11</v>
      </c>
      <c r="D52" s="12" t="s">
        <v>31</v>
      </c>
      <c r="E52" s="12">
        <v>0</v>
      </c>
    </row>
    <row r="53" spans="1:5">
      <c r="A53" s="20" t="str">
        <f t="shared" ref="A53:A61" si="37">A4</f>
        <v>VOLLEY RADZIEJOWICE 2</v>
      </c>
      <c r="B53" s="20" t="str">
        <f>A11</f>
        <v>VOLLEY RADZIEJOWICE 1</v>
      </c>
      <c r="C53" s="12">
        <v>8</v>
      </c>
      <c r="D53" s="12" t="s">
        <v>31</v>
      </c>
      <c r="E53" s="12">
        <v>11</v>
      </c>
    </row>
    <row r="54" spans="1:5">
      <c r="A54" s="20" t="str">
        <f t="shared" si="37"/>
        <v>VOLLEY RADZIEJOWICE 6</v>
      </c>
      <c r="B54" s="20" t="str">
        <f>A10</f>
        <v>AT RADOM 2</v>
      </c>
      <c r="C54" s="12">
        <v>0</v>
      </c>
      <c r="D54" s="12" t="s">
        <v>31</v>
      </c>
      <c r="E54" s="12">
        <v>11</v>
      </c>
    </row>
    <row r="55" spans="1:5">
      <c r="A55" s="20" t="str">
        <f t="shared" si="37"/>
        <v>METRO WARSZAWA 3</v>
      </c>
      <c r="B55" s="20" t="str">
        <f>A9</f>
        <v>RCS RADOM 5</v>
      </c>
      <c r="C55" s="12">
        <v>0</v>
      </c>
      <c r="D55" s="12" t="s">
        <v>31</v>
      </c>
      <c r="E55" s="12">
        <v>11</v>
      </c>
    </row>
    <row r="56" spans="1:5">
      <c r="A56" s="20" t="str">
        <f t="shared" si="37"/>
        <v>VOLLEY RADZIEJOWICE 3</v>
      </c>
      <c r="B56" s="20" t="str">
        <f>A8</f>
        <v>UKS LESZNOWOLA 1</v>
      </c>
      <c r="C56" s="12">
        <v>11</v>
      </c>
      <c r="D56" s="12" t="s">
        <v>31</v>
      </c>
      <c r="E56" s="12">
        <v>9</v>
      </c>
    </row>
    <row r="57" spans="1:5">
      <c r="A57" s="20" t="str">
        <f t="shared" si="37"/>
        <v>UKS LESZNOWOLA 1</v>
      </c>
      <c r="B57" s="20" t="str">
        <f>A13</f>
        <v>RCS RADOM 2</v>
      </c>
      <c r="C57" s="12">
        <v>11</v>
      </c>
      <c r="D57" s="12" t="s">
        <v>31</v>
      </c>
      <c r="E57" s="12">
        <v>7</v>
      </c>
    </row>
    <row r="58" spans="1:5">
      <c r="A58" s="20" t="str">
        <f t="shared" si="37"/>
        <v>RCS RADOM 5</v>
      </c>
      <c r="B58" s="20" t="str">
        <f>A7</f>
        <v>VOLLEY RADZIEJOWICE 3</v>
      </c>
      <c r="C58" s="12">
        <v>6</v>
      </c>
      <c r="D58" s="12" t="s">
        <v>31</v>
      </c>
      <c r="E58" s="12">
        <v>11</v>
      </c>
    </row>
    <row r="59" spans="1:5">
      <c r="A59" s="20" t="str">
        <f t="shared" si="37"/>
        <v>AT RADOM 2</v>
      </c>
      <c r="B59" s="20" t="str">
        <f>A6</f>
        <v>METRO WARSZAWA 3</v>
      </c>
      <c r="C59" s="12">
        <v>11</v>
      </c>
      <c r="D59" s="12" t="s">
        <v>31</v>
      </c>
      <c r="E59" s="12">
        <v>0</v>
      </c>
    </row>
    <row r="60" spans="1:5">
      <c r="A60" s="20" t="str">
        <f t="shared" si="37"/>
        <v>VOLLEY RADZIEJOWICE 1</v>
      </c>
      <c r="B60" s="20" t="str">
        <f>A5</f>
        <v>VOLLEY RADZIEJOWICE 6</v>
      </c>
      <c r="C60" s="12">
        <v>11</v>
      </c>
      <c r="D60" s="12" t="s">
        <v>31</v>
      </c>
      <c r="E60" s="12">
        <v>0</v>
      </c>
    </row>
    <row r="61" spans="1:5">
      <c r="A61" s="20" t="str">
        <f t="shared" si="37"/>
        <v>METRO WARSZAWA 4</v>
      </c>
      <c r="B61" s="20" t="str">
        <f>A4</f>
        <v>VOLLEY RADZIEJOWICE 2</v>
      </c>
      <c r="C61" s="12">
        <v>0</v>
      </c>
      <c r="D61" s="12" t="s">
        <v>31</v>
      </c>
      <c r="E61" s="12">
        <v>11</v>
      </c>
    </row>
  </sheetData>
  <autoFilter ref="A16:B6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5934-AF5B-41D5-A7D7-063C7F07DA48}">
  <sheetPr>
    <pageSetUpPr fitToPage="1"/>
  </sheetPr>
  <dimension ref="A1:AC61"/>
  <sheetViews>
    <sheetView workbookViewId="0">
      <selection activeCell="H59" sqref="H59"/>
    </sheetView>
  </sheetViews>
  <sheetFormatPr defaultColWidth="8.85546875" defaultRowHeight="15"/>
  <cols>
    <col min="1" max="2" width="24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4.42578125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customWidth="1"/>
    <col min="19" max="19" width="12.7109375" style="2" customWidth="1"/>
    <col min="20" max="26" width="9.140625" style="2" customWidth="1"/>
    <col min="27" max="27" width="7" style="2" customWidth="1"/>
    <col min="28" max="28" width="9.140625" style="2" customWidth="1"/>
    <col min="29" max="29" width="8.85546875" style="2" customWidth="1"/>
    <col min="30" max="16384" width="8.85546875" style="2"/>
  </cols>
  <sheetData>
    <row r="1" spans="1:29" ht="28.5">
      <c r="A1" s="1" t="s">
        <v>44</v>
      </c>
      <c r="S1" s="2" t="s">
        <v>1</v>
      </c>
      <c r="T1" s="2" t="b">
        <f>ROWS(homescore)-COUNT(homescore)=0</f>
        <v>1</v>
      </c>
    </row>
    <row r="2" spans="1:29"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6" t="s">
        <v>9</v>
      </c>
      <c r="P2" s="6" t="s">
        <v>10</v>
      </c>
      <c r="T2" s="7" t="s">
        <v>3</v>
      </c>
      <c r="U2" s="8" t="s">
        <v>11</v>
      </c>
      <c r="V2" s="8" t="s">
        <v>12</v>
      </c>
      <c r="W2" s="9" t="s">
        <v>13</v>
      </c>
      <c r="X2" s="4" t="s">
        <v>14</v>
      </c>
      <c r="Y2" s="8" t="s">
        <v>15</v>
      </c>
      <c r="Z2" s="22" t="s">
        <v>16</v>
      </c>
      <c r="AA2" s="9" t="s">
        <v>12</v>
      </c>
      <c r="AB2" s="9" t="s">
        <v>17</v>
      </c>
      <c r="AC2" s="2" t="s">
        <v>18</v>
      </c>
    </row>
    <row r="3" spans="1:29">
      <c r="A3" s="10" t="s">
        <v>2</v>
      </c>
      <c r="B3" s="11"/>
      <c r="H3" s="12" t="str">
        <f>_xlfn.XLOOKUP(1,$AC$3:$AC$12,$S$3:$S$12)</f>
        <v>SPARTA GRODZISK MAZ. 1</v>
      </c>
      <c r="I3" s="12">
        <f t="shared" ref="I3:I12" si="0">VLOOKUP($H3,$S$3:$AA$12,2,0)</f>
        <v>9</v>
      </c>
      <c r="J3" s="12">
        <f t="shared" ref="J3:J12" si="1">VLOOKUP($H3,$S$3:$AA$12,3,0)</f>
        <v>9</v>
      </c>
      <c r="K3" s="12">
        <f t="shared" ref="K3:K12" si="2">VLOOKUP($H3,$S$3:$AA$12,4,0)</f>
        <v>0</v>
      </c>
      <c r="L3" s="12">
        <f t="shared" ref="L3:L12" si="3">VLOOKUP($H3,$S$3:$AA$12,5,0)</f>
        <v>99</v>
      </c>
      <c r="M3" s="12">
        <f t="shared" ref="M3:M12" si="4">VLOOKUP($H3,$S$3:$AA$12,6,0)</f>
        <v>43</v>
      </c>
      <c r="N3" s="12">
        <f t="shared" ref="N3:N12" si="5">VLOOKUP($H3,$S$3:$AA$12,7,0)</f>
        <v>56</v>
      </c>
      <c r="O3" s="21">
        <f>IF(Tabela145[[#This Row],[STRACONE]]=0,0,Tabela145[[#This Row],[ZDOBYTE]]/Tabela145[[#This Row],[STRACONE]])</f>
        <v>2.3023255813953489</v>
      </c>
      <c r="P3" s="13">
        <f t="shared" ref="P3:P12" si="6">VLOOKUP($H3,$S$3:$AB$12,9,0)</f>
        <v>18</v>
      </c>
      <c r="S3" s="14" t="str">
        <f t="shared" ref="S3:S10" si="7">A4</f>
        <v>VOLLEY RADZIEJOWICE 4</v>
      </c>
      <c r="T3" s="15" cm="1">
        <f t="array" ref="T3">SUM((home=S3)*(ISNUMBER(homescore)),(visitor=S3)*(ISNUMBER(visitorscore)))</f>
        <v>9</v>
      </c>
      <c r="U3" s="3">
        <f t="array" ref="U3">SUM((home=S3)*(homescore&gt;visitorscore),(visitor=S3)*(visitorscore&gt;homescore))</f>
        <v>0</v>
      </c>
      <c r="V3" s="3">
        <f t="array" ref="V3">SUM((home=S3)*(homescore&lt;visitorscore),(visitor=S3)*(visitorscore&lt;homescore))</f>
        <v>8</v>
      </c>
      <c r="W3" s="16">
        <f t="shared" ref="W3" si="8">SUMIF(home,S3,homescore)+SUMIF(visitor,S3,visitorscore)</f>
        <v>0</v>
      </c>
      <c r="X3" s="17">
        <f t="shared" ref="X3" si="9">SUMIF(home,S3,visitorscore)+SUMIF(visitor,S3,homescore)</f>
        <v>88</v>
      </c>
      <c r="Y3" s="3">
        <f>W3-X3</f>
        <v>-88</v>
      </c>
      <c r="Z3" s="23">
        <f>IF(X3&gt;0,W3/X3,0)</f>
        <v>0</v>
      </c>
      <c r="AA3" s="16">
        <f>2*U3</f>
        <v>0</v>
      </c>
      <c r="AB3" s="18">
        <f>W3+Z3*1000+Y3*10000+AA3*100000000</f>
        <v>-880000</v>
      </c>
      <c r="AC3" s="2">
        <f>RANK(AB3,$AB$3:$AB$12)</f>
        <v>10</v>
      </c>
    </row>
    <row r="4" spans="1:29">
      <c r="A4" s="49" t="s">
        <v>45</v>
      </c>
      <c r="H4" s="12" t="str">
        <f>_xlfn.XLOOKUP(2,$AC$3:$AC$12,$S$3:$S$12)</f>
        <v>SASKA WARSZAWA 2</v>
      </c>
      <c r="I4" s="12">
        <f t="shared" si="0"/>
        <v>9</v>
      </c>
      <c r="J4" s="12">
        <f t="shared" si="1"/>
        <v>7</v>
      </c>
      <c r="K4" s="12">
        <f t="shared" si="2"/>
        <v>2</v>
      </c>
      <c r="L4" s="12">
        <f t="shared" si="3"/>
        <v>94</v>
      </c>
      <c r="M4" s="12">
        <f t="shared" si="4"/>
        <v>57</v>
      </c>
      <c r="N4" s="12">
        <f t="shared" si="5"/>
        <v>37</v>
      </c>
      <c r="O4" s="21">
        <f>IF(Tabela145[[#This Row],[STRACONE]]=0,0,Tabela145[[#This Row],[ZDOBYTE]]/Tabela145[[#This Row],[STRACONE]])</f>
        <v>1.6491228070175439</v>
      </c>
      <c r="P4" s="13">
        <f t="shared" si="6"/>
        <v>14</v>
      </c>
      <c r="S4" s="19" t="str">
        <f t="shared" si="7"/>
        <v>SASKA WARSZAWA 2</v>
      </c>
      <c r="T4" s="15" cm="1">
        <f t="array" ref="T4">SUM((home=S4)*(ISNUMBER(homescore)),(visitor=S4)*(ISNUMBER(visitorscore)))</f>
        <v>9</v>
      </c>
      <c r="U4" s="3">
        <f t="array" ref="U4">SUM((home=S4)*(homescore&gt;visitorscore),(visitor=S4)*(visitorscore&gt;homescore))</f>
        <v>7</v>
      </c>
      <c r="V4" s="3">
        <f t="array" ref="V4">SUM((home=S4)*(homescore&lt;visitorscore),(visitor=S4)*(visitorscore&lt;homescore))</f>
        <v>2</v>
      </c>
      <c r="W4" s="16">
        <f t="shared" ref="W4" si="10">SUMIF(home,S4,homescore)+SUMIF(visitor,S4,visitorscore)</f>
        <v>94</v>
      </c>
      <c r="X4" s="17">
        <f t="shared" ref="X4" si="11">SUMIF(home,S4,visitorscore)+SUMIF(visitor,S4,homescore)</f>
        <v>57</v>
      </c>
      <c r="Y4" s="3">
        <f t="shared" ref="Y4:Y11" si="12">W4-X4</f>
        <v>37</v>
      </c>
      <c r="Z4" s="23">
        <f t="shared" ref="Z4:Z11" si="13">IF(X4&gt;0,W4/X4,0)</f>
        <v>1.6491228070175439</v>
      </c>
      <c r="AA4" s="16">
        <f t="shared" ref="AA4:AA11" si="14">2*U4</f>
        <v>14</v>
      </c>
      <c r="AB4" s="18">
        <f t="shared" ref="AB4:AB11" si="15">W4+Z4*1000+Y4*10000+AA4*100000000</f>
        <v>1400371743.122807</v>
      </c>
      <c r="AC4" s="2">
        <f t="shared" ref="AC4:AC12" si="16">RANK(AB4,$AB$3:$AB$12)</f>
        <v>2</v>
      </c>
    </row>
    <row r="5" spans="1:29">
      <c r="A5" s="49" t="s">
        <v>46</v>
      </c>
      <c r="H5" s="12" t="str">
        <f>_xlfn.XLOOKUP(3,$AC$3:$AC$12,$S$3:$S$12)</f>
        <v>LOS NOWY DWÓR MAZ. 1</v>
      </c>
      <c r="I5" s="12">
        <f t="shared" si="0"/>
        <v>9</v>
      </c>
      <c r="J5" s="12">
        <f t="shared" si="1"/>
        <v>6</v>
      </c>
      <c r="K5" s="12">
        <f t="shared" si="2"/>
        <v>3</v>
      </c>
      <c r="L5" s="12">
        <f t="shared" si="3"/>
        <v>96</v>
      </c>
      <c r="M5" s="12">
        <f t="shared" si="4"/>
        <v>62</v>
      </c>
      <c r="N5" s="12">
        <f t="shared" si="5"/>
        <v>34</v>
      </c>
      <c r="O5" s="21">
        <f>IF(Tabela145[[#This Row],[STRACONE]]=0,0,Tabela145[[#This Row],[ZDOBYTE]]/Tabela145[[#This Row],[STRACONE]])</f>
        <v>1.5483870967741935</v>
      </c>
      <c r="P5" s="13">
        <f t="shared" si="6"/>
        <v>12</v>
      </c>
      <c r="S5" s="19" t="str">
        <f t="shared" si="7"/>
        <v>METRO WARSZAWA 5</v>
      </c>
      <c r="T5" s="15" cm="1">
        <f t="array" ref="T5">SUM((home=S5)*(ISNUMBER(homescore)),(visitor=S5)*(ISNUMBER(visitorscore)))</f>
        <v>9</v>
      </c>
      <c r="U5" s="3">
        <f t="array" ref="U5">SUM((home=S5)*(homescore&gt;visitorscore),(visitor=S5)*(visitorscore&gt;homescore))</f>
        <v>4</v>
      </c>
      <c r="V5" s="3">
        <f t="array" ref="V5">SUM((home=S5)*(homescore&lt;visitorscore),(visitor=S5)*(visitorscore&lt;homescore))</f>
        <v>5</v>
      </c>
      <c r="W5" s="16">
        <f t="shared" ref="W5" si="17">SUMIF(home,S5,homescore)+SUMIF(visitor,S5,visitorscore)</f>
        <v>75</v>
      </c>
      <c r="X5" s="17">
        <f t="shared" ref="X5" si="18">SUMIF(home,S5,visitorscore)+SUMIF(visitor,S5,homescore)</f>
        <v>71</v>
      </c>
      <c r="Y5" s="3">
        <f t="shared" si="12"/>
        <v>4</v>
      </c>
      <c r="Z5" s="23">
        <f t="shared" si="13"/>
        <v>1.056338028169014</v>
      </c>
      <c r="AA5" s="16">
        <f t="shared" si="14"/>
        <v>8</v>
      </c>
      <c r="AB5" s="18">
        <f t="shared" si="15"/>
        <v>800041131.33802819</v>
      </c>
      <c r="AC5" s="2">
        <f t="shared" si="16"/>
        <v>8</v>
      </c>
    </row>
    <row r="6" spans="1:29">
      <c r="A6" s="49" t="s">
        <v>47</v>
      </c>
      <c r="H6" s="12" t="str">
        <f>_xlfn.XLOOKUP(4,$AC$3:$AC$12,$S$3:$S$12)</f>
        <v>ISKRA WARSZAWA 11</v>
      </c>
      <c r="I6" s="12">
        <f t="shared" si="0"/>
        <v>9</v>
      </c>
      <c r="J6" s="12">
        <f t="shared" si="1"/>
        <v>6</v>
      </c>
      <c r="K6" s="12">
        <f t="shared" si="2"/>
        <v>3</v>
      </c>
      <c r="L6" s="12">
        <f t="shared" si="3"/>
        <v>82</v>
      </c>
      <c r="M6" s="12">
        <f t="shared" si="4"/>
        <v>58</v>
      </c>
      <c r="N6" s="12">
        <f t="shared" si="5"/>
        <v>24</v>
      </c>
      <c r="O6" s="21">
        <f>IF(Tabela145[[#This Row],[STRACONE]]=0,0,Tabela145[[#This Row],[ZDOBYTE]]/Tabela145[[#This Row],[STRACONE]])</f>
        <v>1.4137931034482758</v>
      </c>
      <c r="P6" s="13">
        <f t="shared" si="6"/>
        <v>12</v>
      </c>
      <c r="S6" s="19" t="str">
        <f t="shared" si="7"/>
        <v>SPARTA GRODZISK MAZ. 2</v>
      </c>
      <c r="T6" s="15" cm="1">
        <f t="array" ref="T6">SUM((home=S6)*(ISNUMBER(homescore)),(visitor=S6)*(ISNUMBER(visitorscore)))</f>
        <v>9</v>
      </c>
      <c r="U6" s="3">
        <f t="array" ref="U6">SUM((home=S6)*(homescore&gt;visitorscore),(visitor=S6)*(visitorscore&gt;homescore))</f>
        <v>4</v>
      </c>
      <c r="V6" s="3">
        <f t="array" ref="V6">SUM((home=S6)*(homescore&lt;visitorscore),(visitor=S6)*(visitorscore&lt;homescore))</f>
        <v>5</v>
      </c>
      <c r="W6" s="16">
        <f t="shared" ref="W6" si="19">SUMIF(home,S6,homescore)+SUMIF(visitor,S6,visitorscore)</f>
        <v>73</v>
      </c>
      <c r="X6" s="17">
        <f t="shared" ref="X6" si="20">SUMIF(home,S6,visitorscore)+SUMIF(visitor,S6,homescore)</f>
        <v>67</v>
      </c>
      <c r="Y6" s="3">
        <f t="shared" si="12"/>
        <v>6</v>
      </c>
      <c r="Z6" s="23">
        <f t="shared" si="13"/>
        <v>1.0895522388059702</v>
      </c>
      <c r="AA6" s="16">
        <f t="shared" si="14"/>
        <v>8</v>
      </c>
      <c r="AB6" s="18">
        <f t="shared" si="15"/>
        <v>800061162.55223882</v>
      </c>
      <c r="AC6" s="2">
        <f t="shared" si="16"/>
        <v>7</v>
      </c>
    </row>
    <row r="7" spans="1:29">
      <c r="A7" s="49" t="s">
        <v>48</v>
      </c>
      <c r="H7" s="12" t="str">
        <f>_xlfn.XLOOKUP(5,$AC$3:$AC$12,$S$3:$S$12)</f>
        <v>LOS NOWY DWÓR MAZ. 2</v>
      </c>
      <c r="I7" s="12">
        <f t="shared" si="0"/>
        <v>9</v>
      </c>
      <c r="J7" s="12">
        <f t="shared" si="1"/>
        <v>4</v>
      </c>
      <c r="K7" s="12">
        <f t="shared" si="2"/>
        <v>5</v>
      </c>
      <c r="L7" s="12">
        <f t="shared" si="3"/>
        <v>83</v>
      </c>
      <c r="M7" s="12">
        <f t="shared" si="4"/>
        <v>75</v>
      </c>
      <c r="N7" s="12">
        <f t="shared" si="5"/>
        <v>8</v>
      </c>
      <c r="O7" s="21">
        <f>IF(Tabela145[[#This Row],[STRACONE]]=0,0,Tabela145[[#This Row],[ZDOBYTE]]/Tabela145[[#This Row],[STRACONE]])</f>
        <v>1.1066666666666667</v>
      </c>
      <c r="P7" s="13">
        <f t="shared" si="6"/>
        <v>8</v>
      </c>
      <c r="S7" s="19" t="str">
        <f t="shared" si="7"/>
        <v>LOS NOWY DWÓR MAZ. 1</v>
      </c>
      <c r="T7" s="15" cm="1">
        <f t="array" ref="T7">SUM((home=S7)*(ISNUMBER(homescore)),(visitor=S7)*(ISNUMBER(visitorscore)))</f>
        <v>9</v>
      </c>
      <c r="U7" s="3">
        <f t="array" ref="U7">SUM((home=S7)*(homescore&gt;visitorscore),(visitor=S7)*(visitorscore&gt;homescore))</f>
        <v>6</v>
      </c>
      <c r="V7" s="3">
        <f t="array" ref="V7">SUM((home=S7)*(homescore&lt;visitorscore),(visitor=S7)*(visitorscore&lt;homescore))</f>
        <v>3</v>
      </c>
      <c r="W7" s="16">
        <f t="shared" ref="W7" si="21">SUMIF(home,S7,homescore)+SUMIF(visitor,S7,visitorscore)</f>
        <v>96</v>
      </c>
      <c r="X7" s="17">
        <f t="shared" ref="X7" si="22">SUMIF(home,S7,visitorscore)+SUMIF(visitor,S7,homescore)</f>
        <v>62</v>
      </c>
      <c r="Y7" s="3">
        <f t="shared" si="12"/>
        <v>34</v>
      </c>
      <c r="Z7" s="23">
        <f t="shared" si="13"/>
        <v>1.5483870967741935</v>
      </c>
      <c r="AA7" s="16">
        <f t="shared" si="14"/>
        <v>12</v>
      </c>
      <c r="AB7" s="18">
        <f t="shared" si="15"/>
        <v>1200341644.3870969</v>
      </c>
      <c r="AC7" s="2">
        <f t="shared" si="16"/>
        <v>3</v>
      </c>
    </row>
    <row r="8" spans="1:29">
      <c r="A8" s="49" t="s">
        <v>49</v>
      </c>
      <c r="H8" s="12" t="str">
        <f>_xlfn.XLOOKUP(6,$AC$3:$AC$12,$S$3:$S$12)</f>
        <v>VOLLEY RADZIEJOWICE 5</v>
      </c>
      <c r="I8" s="12">
        <f t="shared" si="0"/>
        <v>9</v>
      </c>
      <c r="J8" s="12">
        <f t="shared" si="1"/>
        <v>4</v>
      </c>
      <c r="K8" s="12">
        <f t="shared" si="2"/>
        <v>5</v>
      </c>
      <c r="L8" s="12">
        <f t="shared" si="3"/>
        <v>71</v>
      </c>
      <c r="M8" s="12">
        <f t="shared" si="4"/>
        <v>64</v>
      </c>
      <c r="N8" s="12">
        <f t="shared" si="5"/>
        <v>7</v>
      </c>
      <c r="O8" s="21">
        <f>IF(Tabela145[[#This Row],[STRACONE]]=0,0,Tabela145[[#This Row],[ZDOBYTE]]/Tabela145[[#This Row],[STRACONE]])</f>
        <v>1.109375</v>
      </c>
      <c r="P8" s="13">
        <f t="shared" si="6"/>
        <v>8</v>
      </c>
      <c r="S8" s="19" t="str">
        <f t="shared" si="7"/>
        <v>ISKRA WARSZAWA 11</v>
      </c>
      <c r="T8" s="15" cm="1">
        <f t="array" ref="T8">SUM((home=S8)*(ISNUMBER(homescore)),(visitor=S8)*(ISNUMBER(visitorscore)))</f>
        <v>9</v>
      </c>
      <c r="U8" s="3">
        <f t="array" ref="U8">SUM((home=S8)*(homescore&gt;visitorscore),(visitor=S8)*(visitorscore&gt;homescore))</f>
        <v>6</v>
      </c>
      <c r="V8" s="3">
        <f t="array" ref="V8">SUM((home=S8)*(homescore&lt;visitorscore),(visitor=S8)*(visitorscore&lt;homescore))</f>
        <v>3</v>
      </c>
      <c r="W8" s="16">
        <f t="shared" ref="W8" si="23">SUMIF(home,S8,homescore)+SUMIF(visitor,S8,visitorscore)</f>
        <v>82</v>
      </c>
      <c r="X8" s="17">
        <f t="shared" ref="X8" si="24">SUMIF(home,S8,visitorscore)+SUMIF(visitor,S8,homescore)</f>
        <v>58</v>
      </c>
      <c r="Y8" s="3">
        <f t="shared" si="12"/>
        <v>24</v>
      </c>
      <c r="Z8" s="23">
        <f t="shared" si="13"/>
        <v>1.4137931034482758</v>
      </c>
      <c r="AA8" s="16">
        <f t="shared" si="14"/>
        <v>12</v>
      </c>
      <c r="AB8" s="18">
        <f t="shared" si="15"/>
        <v>1200241495.7931035</v>
      </c>
      <c r="AC8" s="2">
        <f t="shared" si="16"/>
        <v>4</v>
      </c>
    </row>
    <row r="9" spans="1:29">
      <c r="A9" s="49" t="s">
        <v>50</v>
      </c>
      <c r="H9" s="12" t="str">
        <f>_xlfn.XLOOKUP(7,$AC$3:$AC$12,$S$3:$S$12)</f>
        <v>SPARTA GRODZISK MAZ. 2</v>
      </c>
      <c r="I9" s="12">
        <f t="shared" si="0"/>
        <v>9</v>
      </c>
      <c r="J9" s="12">
        <f t="shared" si="1"/>
        <v>4</v>
      </c>
      <c r="K9" s="12">
        <f t="shared" si="2"/>
        <v>5</v>
      </c>
      <c r="L9" s="12">
        <f t="shared" si="3"/>
        <v>73</v>
      </c>
      <c r="M9" s="12">
        <f t="shared" si="4"/>
        <v>67</v>
      </c>
      <c r="N9" s="12">
        <f t="shared" si="5"/>
        <v>6</v>
      </c>
      <c r="O9" s="21">
        <f>IF(Tabela145[[#This Row],[STRACONE]]=0,0,Tabela145[[#This Row],[ZDOBYTE]]/Tabela145[[#This Row],[STRACONE]])</f>
        <v>1.0895522388059702</v>
      </c>
      <c r="P9" s="13">
        <f t="shared" si="6"/>
        <v>8</v>
      </c>
      <c r="S9" s="19" t="str">
        <f t="shared" si="7"/>
        <v>MOS WOLA 2</v>
      </c>
      <c r="T9" s="15" cm="1">
        <f t="array" ref="T9">SUM((home=S9)*(ISNUMBER(homescore)),(visitor=S9)*(ISNUMBER(visitorscore)))</f>
        <v>9</v>
      </c>
      <c r="U9" s="3">
        <f t="array" ref="U9">SUM((home=S9)*(homescore&gt;visitorscore),(visitor=S9)*(visitorscore&gt;homescore))</f>
        <v>0</v>
      </c>
      <c r="V9" s="3">
        <f t="array" ref="V9">SUM((home=S9)*(homescore&lt;visitorscore),(visitor=S9)*(visitorscore&lt;homescore))</f>
        <v>8</v>
      </c>
      <c r="W9" s="16">
        <f t="shared" ref="W9" si="25">SUMIF(home,S9,homescore)+SUMIF(visitor,S9,visitorscore)</f>
        <v>0</v>
      </c>
      <c r="X9" s="17">
        <f t="shared" ref="X9" si="26">SUMIF(home,S9,visitorscore)+SUMIF(visitor,S9,homescore)</f>
        <v>88</v>
      </c>
      <c r="Y9" s="3">
        <f t="shared" si="12"/>
        <v>-88</v>
      </c>
      <c r="Z9" s="23">
        <f t="shared" si="13"/>
        <v>0</v>
      </c>
      <c r="AA9" s="16">
        <f t="shared" si="14"/>
        <v>0</v>
      </c>
      <c r="AB9" s="18">
        <f>W9+Z9*1000+Y9*10000+AA9*100000000+1</f>
        <v>-879999</v>
      </c>
      <c r="AC9" s="2">
        <f t="shared" si="16"/>
        <v>9</v>
      </c>
    </row>
    <row r="10" spans="1:29">
      <c r="A10" s="49" t="s">
        <v>51</v>
      </c>
      <c r="H10" s="12" t="str">
        <f>_xlfn.XLOOKUP(8,$AC$3:$AC$12,$S$3:$S$12)</f>
        <v>METRO WARSZAWA 5</v>
      </c>
      <c r="I10" s="12">
        <f t="shared" si="0"/>
        <v>9</v>
      </c>
      <c r="J10" s="12">
        <f t="shared" si="1"/>
        <v>4</v>
      </c>
      <c r="K10" s="12">
        <f t="shared" si="2"/>
        <v>5</v>
      </c>
      <c r="L10" s="12">
        <f t="shared" si="3"/>
        <v>75</v>
      </c>
      <c r="M10" s="12">
        <f t="shared" si="4"/>
        <v>71</v>
      </c>
      <c r="N10" s="12">
        <f t="shared" si="5"/>
        <v>4</v>
      </c>
      <c r="O10" s="21">
        <f>IF(Tabela145[[#This Row],[STRACONE]]=0,0,Tabela145[[#This Row],[ZDOBYTE]]/Tabela145[[#This Row],[STRACONE]])</f>
        <v>1.056338028169014</v>
      </c>
      <c r="P10" s="13">
        <f t="shared" si="6"/>
        <v>8</v>
      </c>
      <c r="S10" s="19" t="str">
        <f t="shared" si="7"/>
        <v>SPARTA GRODZISK MAZ. 1</v>
      </c>
      <c r="T10" s="15" cm="1">
        <f t="array" ref="T10">SUM((home=S10)*(ISNUMBER(homescore)),(visitor=S10)*(ISNUMBER(visitorscore)))</f>
        <v>9</v>
      </c>
      <c r="U10" s="3">
        <f t="array" ref="U10">SUM((home=S10)*(homescore&gt;visitorscore),(visitor=S10)*(visitorscore&gt;homescore))</f>
        <v>9</v>
      </c>
      <c r="V10" s="3">
        <f t="array" ref="V10">SUM((home=S10)*(homescore&lt;visitorscore),(visitor=S10)*(visitorscore&lt;homescore))</f>
        <v>0</v>
      </c>
      <c r="W10" s="16">
        <f t="shared" ref="W10" si="27">SUMIF(home,S10,homescore)+SUMIF(visitor,S10,visitorscore)</f>
        <v>99</v>
      </c>
      <c r="X10" s="17">
        <f t="shared" ref="X10" si="28">SUMIF(home,S10,visitorscore)+SUMIF(visitor,S10,homescore)</f>
        <v>43</v>
      </c>
      <c r="Y10" s="3">
        <f t="shared" si="12"/>
        <v>56</v>
      </c>
      <c r="Z10" s="23">
        <f t="shared" si="13"/>
        <v>2.3023255813953489</v>
      </c>
      <c r="AA10" s="16">
        <f t="shared" si="14"/>
        <v>18</v>
      </c>
      <c r="AB10" s="18">
        <f t="shared" si="15"/>
        <v>1800562401.3255813</v>
      </c>
      <c r="AC10" s="2">
        <f t="shared" si="16"/>
        <v>1</v>
      </c>
    </row>
    <row r="11" spans="1:29">
      <c r="A11" s="49" t="s">
        <v>52</v>
      </c>
      <c r="H11" s="12" t="str">
        <f>_xlfn.XLOOKUP(9,$AC$3:$AC$12,$S$3:$S$12)</f>
        <v>MOS WOLA 2</v>
      </c>
      <c r="I11" s="12">
        <f t="shared" si="0"/>
        <v>9</v>
      </c>
      <c r="J11" s="12">
        <f t="shared" si="1"/>
        <v>0</v>
      </c>
      <c r="K11" s="12">
        <f t="shared" si="2"/>
        <v>8</v>
      </c>
      <c r="L11" s="12">
        <f t="shared" si="3"/>
        <v>0</v>
      </c>
      <c r="M11" s="12">
        <f t="shared" si="4"/>
        <v>88</v>
      </c>
      <c r="N11" s="12">
        <f t="shared" si="5"/>
        <v>-88</v>
      </c>
      <c r="O11" s="21">
        <f>IF(Tabela145[[#This Row],[STRACONE]]=0,0,Tabela145[[#This Row],[ZDOBYTE]]/Tabela145[[#This Row],[STRACONE]])</f>
        <v>0</v>
      </c>
      <c r="P11" s="13">
        <f t="shared" si="6"/>
        <v>0</v>
      </c>
      <c r="S11" s="19" t="str">
        <f>A12</f>
        <v>VOLLEY RADZIEJOWICE 5</v>
      </c>
      <c r="T11" s="15" cm="1">
        <f t="array" ref="T11">SUM((home=S11)*(ISNUMBER(homescore)),(visitor=S11)*(ISNUMBER(visitorscore)))</f>
        <v>9</v>
      </c>
      <c r="U11" s="3">
        <f t="array" ref="U11">SUM((home=S11)*(homescore&gt;visitorscore),(visitor=S11)*(visitorscore&gt;homescore))</f>
        <v>4</v>
      </c>
      <c r="V11" s="3">
        <f t="array" ref="V11">SUM((home=S11)*(homescore&lt;visitorscore),(visitor=S11)*(visitorscore&lt;homescore))</f>
        <v>5</v>
      </c>
      <c r="W11" s="16">
        <f t="shared" ref="W11" si="29">SUMIF(home,S11,homescore)+SUMIF(visitor,S11,visitorscore)</f>
        <v>71</v>
      </c>
      <c r="X11" s="17">
        <f t="shared" ref="X11" si="30">SUMIF(home,S11,visitorscore)+SUMIF(visitor,S11,homescore)</f>
        <v>64</v>
      </c>
      <c r="Y11" s="3">
        <f t="shared" si="12"/>
        <v>7</v>
      </c>
      <c r="Z11" s="23">
        <f t="shared" si="13"/>
        <v>1.109375</v>
      </c>
      <c r="AA11" s="16">
        <f t="shared" si="14"/>
        <v>8</v>
      </c>
      <c r="AB11" s="18">
        <f t="shared" si="15"/>
        <v>800071180.375</v>
      </c>
      <c r="AC11" s="2">
        <f t="shared" si="16"/>
        <v>6</v>
      </c>
    </row>
    <row r="12" spans="1:29">
      <c r="A12" s="49" t="s">
        <v>53</v>
      </c>
      <c r="H12" s="12" t="str">
        <f>_xlfn.XLOOKUP(10,$AC$3:$AC$12,$S$3:$S$12)</f>
        <v>VOLLEY RADZIEJOWICE 4</v>
      </c>
      <c r="I12" s="12">
        <f t="shared" si="0"/>
        <v>9</v>
      </c>
      <c r="J12" s="12">
        <f t="shared" si="1"/>
        <v>0</v>
      </c>
      <c r="K12" s="12">
        <f t="shared" si="2"/>
        <v>8</v>
      </c>
      <c r="L12" s="12">
        <f t="shared" si="3"/>
        <v>0</v>
      </c>
      <c r="M12" s="12">
        <f t="shared" si="4"/>
        <v>88</v>
      </c>
      <c r="N12" s="12">
        <f t="shared" si="5"/>
        <v>-88</v>
      </c>
      <c r="O12" s="21">
        <f>IF(Tabela145[[#This Row],[STRACONE]]=0,0,Tabela145[[#This Row],[ZDOBYTE]]/Tabela145[[#This Row],[STRACONE]])</f>
        <v>0</v>
      </c>
      <c r="P12" s="13">
        <f t="shared" si="6"/>
        <v>0</v>
      </c>
      <c r="S12" s="24" t="str">
        <f t="shared" ref="S12" si="31">A13</f>
        <v>LOS NOWY DWÓR MAZ. 2</v>
      </c>
      <c r="T12" s="15" cm="1">
        <f t="array" ref="T12">SUM((home=S12)*(ISNUMBER(homescore)),(visitor=S12)*(ISNUMBER(visitorscore)))</f>
        <v>9</v>
      </c>
      <c r="U12" s="3">
        <f t="array" ref="U12">SUM((home=S12)*(homescore&gt;visitorscore),(visitor=S12)*(visitorscore&gt;homescore))</f>
        <v>4</v>
      </c>
      <c r="V12" s="3">
        <f t="array" ref="V12">SUM((home=S12)*(homescore&lt;visitorscore),(visitor=S12)*(visitorscore&lt;homescore))</f>
        <v>5</v>
      </c>
      <c r="W12" s="16">
        <f t="shared" ref="W12" si="32">SUMIF(home,S12,homescore)+SUMIF(visitor,S12,visitorscore)</f>
        <v>83</v>
      </c>
      <c r="X12" s="17">
        <f t="shared" ref="X12" si="33">SUMIF(home,S12,visitorscore)+SUMIF(visitor,S12,homescore)</f>
        <v>75</v>
      </c>
      <c r="Y12" s="3">
        <f>W12-X12</f>
        <v>8</v>
      </c>
      <c r="Z12" s="23">
        <f>IF(X12&gt;0,W12/X12,0)</f>
        <v>1.1066666666666667</v>
      </c>
      <c r="AA12" s="16">
        <f>2*U12</f>
        <v>8</v>
      </c>
      <c r="AB12" s="18">
        <f>W12+Z12*1000+Y12*10000+AA12*100000000</f>
        <v>800081189.66666663</v>
      </c>
      <c r="AC12" s="2">
        <f t="shared" si="16"/>
        <v>5</v>
      </c>
    </row>
    <row r="13" spans="1:29">
      <c r="A13" s="49" t="s">
        <v>54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10" t="s">
        <v>29</v>
      </c>
      <c r="B16" s="10" t="s">
        <v>30</v>
      </c>
      <c r="H16"/>
      <c r="I16"/>
      <c r="J16"/>
      <c r="K16"/>
      <c r="L16"/>
      <c r="M16"/>
      <c r="N16"/>
      <c r="O16"/>
      <c r="P16"/>
    </row>
    <row r="17" spans="1:29">
      <c r="A17" s="20" t="str">
        <f>A4</f>
        <v>VOLLEY RADZIEJOWICE 4</v>
      </c>
      <c r="B17" s="20" t="str">
        <f>A13</f>
        <v>LOS NOWY DWÓR MAZ. 2</v>
      </c>
      <c r="C17" s="12">
        <v>0</v>
      </c>
      <c r="D17" s="12" t="s">
        <v>31</v>
      </c>
      <c r="E17" s="12">
        <v>11</v>
      </c>
      <c r="H17"/>
      <c r="I17"/>
      <c r="J17"/>
      <c r="K17"/>
      <c r="L17"/>
      <c r="M17"/>
      <c r="N17"/>
      <c r="O17"/>
      <c r="P17"/>
    </row>
    <row r="18" spans="1:29">
      <c r="A18" s="20" t="str">
        <f>A5</f>
        <v>SASKA WARSZAWA 2</v>
      </c>
      <c r="B18" s="20" t="str">
        <f>A12</f>
        <v>VOLLEY RADZIEJOWICE 5</v>
      </c>
      <c r="C18" s="12">
        <v>11</v>
      </c>
      <c r="D18" s="12" t="s">
        <v>31</v>
      </c>
      <c r="E18" s="12">
        <v>3</v>
      </c>
      <c r="F18" s="3"/>
      <c r="H18"/>
      <c r="I18"/>
      <c r="J18"/>
      <c r="K18"/>
      <c r="L18"/>
      <c r="M18"/>
      <c r="N18"/>
      <c r="O18"/>
      <c r="P18"/>
    </row>
    <row r="19" spans="1:29">
      <c r="A19" s="20" t="str">
        <f>A6</f>
        <v>METRO WARSZAWA 5</v>
      </c>
      <c r="B19" s="20" t="str">
        <f>A11</f>
        <v>SPARTA GRODZISK MAZ. 1</v>
      </c>
      <c r="C19" s="12">
        <v>7</v>
      </c>
      <c r="D19" s="12" t="s">
        <v>31</v>
      </c>
      <c r="E19" s="12">
        <v>11</v>
      </c>
      <c r="F19" s="3"/>
      <c r="H19"/>
      <c r="I19"/>
      <c r="J19"/>
      <c r="K19"/>
      <c r="L19"/>
      <c r="M19"/>
      <c r="N19"/>
      <c r="O19"/>
      <c r="P19"/>
    </row>
    <row r="20" spans="1:29">
      <c r="A20" s="20" t="str">
        <f>A7</f>
        <v>SPARTA GRODZISK MAZ. 2</v>
      </c>
      <c r="B20" s="20" t="str">
        <f>A10</f>
        <v>MOS WOLA 2</v>
      </c>
      <c r="C20" s="12">
        <v>11</v>
      </c>
      <c r="D20" s="12" t="s">
        <v>31</v>
      </c>
      <c r="E20" s="12">
        <v>0</v>
      </c>
      <c r="F20" s="3"/>
      <c r="H20"/>
      <c r="I20"/>
      <c r="J20"/>
      <c r="K20"/>
      <c r="L20"/>
      <c r="M20"/>
      <c r="N20"/>
      <c r="O20"/>
      <c r="P20"/>
    </row>
    <row r="21" spans="1:29">
      <c r="A21" s="20" t="str">
        <f>A8</f>
        <v>LOS NOWY DWÓR MAZ. 1</v>
      </c>
      <c r="B21" s="20" t="str">
        <f>A9</f>
        <v>ISKRA WARSZAWA 11</v>
      </c>
      <c r="C21" s="12">
        <v>11</v>
      </c>
      <c r="D21" s="12" t="s">
        <v>31</v>
      </c>
      <c r="E21" s="12">
        <v>6</v>
      </c>
      <c r="F21" s="3"/>
      <c r="H21"/>
      <c r="I21"/>
      <c r="J21"/>
      <c r="K21"/>
      <c r="L21"/>
      <c r="M21"/>
      <c r="N21"/>
      <c r="O21"/>
      <c r="P21"/>
    </row>
    <row r="22" spans="1:29">
      <c r="A22" s="20" t="str">
        <f>A13</f>
        <v>LOS NOWY DWÓR MAZ. 2</v>
      </c>
      <c r="B22" s="20" t="str">
        <f>A9</f>
        <v>ISKRA WARSZAWA 11</v>
      </c>
      <c r="C22" s="12">
        <v>9</v>
      </c>
      <c r="D22" s="12" t="s">
        <v>31</v>
      </c>
      <c r="E22" s="12">
        <v>11</v>
      </c>
      <c r="F22" s="3"/>
      <c r="H22"/>
      <c r="I22"/>
      <c r="J22"/>
      <c r="K22"/>
      <c r="L22"/>
      <c r="M22"/>
      <c r="N22"/>
      <c r="O22"/>
      <c r="P22"/>
    </row>
    <row r="23" spans="1:29">
      <c r="A23" s="20" t="str">
        <f>A10</f>
        <v>MOS WOLA 2</v>
      </c>
      <c r="B23" s="20" t="str">
        <f>A8</f>
        <v>LOS NOWY DWÓR MAZ. 1</v>
      </c>
      <c r="C23" s="12">
        <v>0</v>
      </c>
      <c r="D23" s="12" t="s">
        <v>31</v>
      </c>
      <c r="E23" s="12">
        <v>11</v>
      </c>
      <c r="F23" s="3" t="s">
        <v>32</v>
      </c>
      <c r="H23"/>
      <c r="I23"/>
      <c r="J23"/>
      <c r="K23"/>
      <c r="L23"/>
      <c r="M23"/>
      <c r="N23"/>
      <c r="O23"/>
      <c r="P23"/>
    </row>
    <row r="24" spans="1:29" s="3" customFormat="1">
      <c r="A24" s="20" t="str">
        <f>A11</f>
        <v>SPARTA GRODZISK MAZ. 1</v>
      </c>
      <c r="B24" s="20" t="str">
        <f>A7</f>
        <v>SPARTA GRODZISK MAZ. 2</v>
      </c>
      <c r="C24" s="12">
        <v>11</v>
      </c>
      <c r="D24" s="12" t="s">
        <v>31</v>
      </c>
      <c r="E24" s="12">
        <v>5</v>
      </c>
      <c r="H24"/>
      <c r="I24"/>
      <c r="J24"/>
      <c r="K24"/>
      <c r="L24"/>
      <c r="M24"/>
      <c r="N24"/>
      <c r="O24"/>
      <c r="P2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3" customFormat="1">
      <c r="A25" s="20" t="str">
        <f>A12</f>
        <v>VOLLEY RADZIEJOWICE 5</v>
      </c>
      <c r="B25" s="20" t="str">
        <f>A6</f>
        <v>METRO WARSZAWA 5</v>
      </c>
      <c r="C25" s="12">
        <v>11</v>
      </c>
      <c r="D25" s="12" t="s">
        <v>31</v>
      </c>
      <c r="E25" s="12">
        <v>4</v>
      </c>
      <c r="F25" s="2"/>
      <c r="H25"/>
      <c r="I25"/>
      <c r="J25"/>
      <c r="K25"/>
      <c r="L25"/>
      <c r="M25"/>
      <c r="N25"/>
      <c r="O25"/>
      <c r="P2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3" customFormat="1">
      <c r="A26" s="20" t="str">
        <f t="shared" ref="A26:A31" si="34">A4</f>
        <v>VOLLEY RADZIEJOWICE 4</v>
      </c>
      <c r="B26" s="20" t="str">
        <f>A5</f>
        <v>SASKA WARSZAWA 2</v>
      </c>
      <c r="C26" s="12">
        <v>0</v>
      </c>
      <c r="D26" s="12" t="s">
        <v>31</v>
      </c>
      <c r="E26" s="12">
        <v>11</v>
      </c>
      <c r="F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3" customFormat="1">
      <c r="A27" s="20" t="str">
        <f t="shared" si="34"/>
        <v>SASKA WARSZAWA 2</v>
      </c>
      <c r="B27" s="20" t="str">
        <f>A13</f>
        <v>LOS NOWY DWÓR MAZ. 2</v>
      </c>
      <c r="C27" s="12">
        <v>11</v>
      </c>
      <c r="D27" s="12" t="s">
        <v>31</v>
      </c>
      <c r="E27" s="12">
        <v>10</v>
      </c>
      <c r="F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3" customFormat="1">
      <c r="A28" s="20" t="str">
        <f t="shared" si="34"/>
        <v>METRO WARSZAWA 5</v>
      </c>
      <c r="B28" s="20" t="str">
        <f>A4</f>
        <v>VOLLEY RADZIEJOWICE 4</v>
      </c>
      <c r="C28" s="12">
        <v>11</v>
      </c>
      <c r="D28" s="12" t="s">
        <v>31</v>
      </c>
      <c r="E28" s="12">
        <v>0</v>
      </c>
      <c r="F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3" customFormat="1">
      <c r="A29" s="20" t="str">
        <f t="shared" si="34"/>
        <v>SPARTA GRODZISK MAZ. 2</v>
      </c>
      <c r="B29" s="20" t="str">
        <f>A12</f>
        <v>VOLLEY RADZIEJOWICE 5</v>
      </c>
      <c r="C29" s="12">
        <v>5</v>
      </c>
      <c r="D29" s="12" t="s">
        <v>31</v>
      </c>
      <c r="E29" s="12">
        <v>11</v>
      </c>
      <c r="F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0" t="str">
        <f t="shared" si="34"/>
        <v>LOS NOWY DWÓR MAZ. 1</v>
      </c>
      <c r="B30" s="20" t="str">
        <f>A11</f>
        <v>SPARTA GRODZISK MAZ. 1</v>
      </c>
      <c r="C30" s="12">
        <v>10</v>
      </c>
      <c r="D30" s="12" t="s">
        <v>31</v>
      </c>
      <c r="E30" s="12">
        <v>11</v>
      </c>
    </row>
    <row r="31" spans="1:29">
      <c r="A31" s="20" t="str">
        <f t="shared" si="34"/>
        <v>ISKRA WARSZAWA 11</v>
      </c>
      <c r="B31" s="20" t="str">
        <f>A10</f>
        <v>MOS WOLA 2</v>
      </c>
      <c r="C31" s="12">
        <v>11</v>
      </c>
      <c r="D31" s="12" t="s">
        <v>31</v>
      </c>
      <c r="E31" s="12">
        <v>0</v>
      </c>
    </row>
    <row r="32" spans="1:29">
      <c r="A32" s="20" t="str">
        <f>A13</f>
        <v>LOS NOWY DWÓR MAZ. 2</v>
      </c>
      <c r="B32" s="20" t="str">
        <f>A10</f>
        <v>MOS WOLA 2</v>
      </c>
      <c r="C32" s="12">
        <v>11</v>
      </c>
      <c r="D32" s="12" t="s">
        <v>31</v>
      </c>
      <c r="E32" s="12">
        <v>0</v>
      </c>
    </row>
    <row r="33" spans="1:5">
      <c r="A33" s="20" t="str">
        <f>A12</f>
        <v>VOLLEY RADZIEJOWICE 5</v>
      </c>
      <c r="B33" s="20" t="str">
        <f>A8</f>
        <v>LOS NOWY DWÓR MAZ. 1</v>
      </c>
      <c r="C33" s="12">
        <v>6</v>
      </c>
      <c r="D33" s="12" t="s">
        <v>31</v>
      </c>
      <c r="E33" s="12">
        <v>11</v>
      </c>
    </row>
    <row r="34" spans="1:5">
      <c r="A34" s="20" t="str">
        <f>A11</f>
        <v>SPARTA GRODZISK MAZ. 1</v>
      </c>
      <c r="B34" s="20" t="str">
        <f>A9</f>
        <v>ISKRA WARSZAWA 11</v>
      </c>
      <c r="C34" s="12">
        <v>11</v>
      </c>
      <c r="D34" s="12" t="s">
        <v>31</v>
      </c>
      <c r="E34" s="12">
        <v>4</v>
      </c>
    </row>
    <row r="35" spans="1:5">
      <c r="A35" s="20" t="str">
        <f t="shared" ref="A35:A41" si="35">A4</f>
        <v>VOLLEY RADZIEJOWICE 4</v>
      </c>
      <c r="B35" s="20" t="str">
        <f>A7</f>
        <v>SPARTA GRODZISK MAZ. 2</v>
      </c>
      <c r="C35" s="12">
        <v>0</v>
      </c>
      <c r="D35" s="12" t="s">
        <v>31</v>
      </c>
      <c r="E35" s="12">
        <v>11</v>
      </c>
    </row>
    <row r="36" spans="1:5">
      <c r="A36" s="20" t="str">
        <f t="shared" si="35"/>
        <v>SASKA WARSZAWA 2</v>
      </c>
      <c r="B36" s="20" t="str">
        <f>A6</f>
        <v>METRO WARSZAWA 5</v>
      </c>
      <c r="C36" s="12">
        <v>11</v>
      </c>
      <c r="D36" s="12" t="s">
        <v>31</v>
      </c>
      <c r="E36" s="12">
        <v>3</v>
      </c>
    </row>
    <row r="37" spans="1:5">
      <c r="A37" s="20" t="str">
        <f t="shared" si="35"/>
        <v>METRO WARSZAWA 5</v>
      </c>
      <c r="B37" s="20" t="str">
        <f>A13</f>
        <v>LOS NOWY DWÓR MAZ. 2</v>
      </c>
      <c r="C37" s="12">
        <v>10</v>
      </c>
      <c r="D37" s="12" t="s">
        <v>31</v>
      </c>
      <c r="E37" s="12">
        <v>11</v>
      </c>
    </row>
    <row r="38" spans="1:5">
      <c r="A38" s="20" t="str">
        <f t="shared" si="35"/>
        <v>SPARTA GRODZISK MAZ. 2</v>
      </c>
      <c r="B38" s="20" t="str">
        <f>A5</f>
        <v>SASKA WARSZAWA 2</v>
      </c>
      <c r="C38" s="12">
        <v>9</v>
      </c>
      <c r="D38" s="12" t="s">
        <v>31</v>
      </c>
      <c r="E38" s="12">
        <v>11</v>
      </c>
    </row>
    <row r="39" spans="1:5">
      <c r="A39" s="20" t="str">
        <f t="shared" si="35"/>
        <v>LOS NOWY DWÓR MAZ. 1</v>
      </c>
      <c r="B39" s="20" t="str">
        <f>A4</f>
        <v>VOLLEY RADZIEJOWICE 4</v>
      </c>
      <c r="C39" s="12">
        <v>11</v>
      </c>
      <c r="D39" s="12" t="s">
        <v>31</v>
      </c>
      <c r="E39" s="12">
        <v>0</v>
      </c>
    </row>
    <row r="40" spans="1:5">
      <c r="A40" s="20" t="str">
        <f t="shared" si="35"/>
        <v>ISKRA WARSZAWA 11</v>
      </c>
      <c r="B40" s="20" t="str">
        <f>A12</f>
        <v>VOLLEY RADZIEJOWICE 5</v>
      </c>
      <c r="C40" s="12">
        <v>11</v>
      </c>
      <c r="D40" s="12" t="s">
        <v>31</v>
      </c>
      <c r="E40" s="12">
        <v>4</v>
      </c>
    </row>
    <row r="41" spans="1:5">
      <c r="A41" s="20" t="str">
        <f t="shared" si="35"/>
        <v>MOS WOLA 2</v>
      </c>
      <c r="B41" s="20" t="str">
        <f>A11</f>
        <v>SPARTA GRODZISK MAZ. 1</v>
      </c>
      <c r="C41" s="12">
        <v>0</v>
      </c>
      <c r="D41" s="12" t="s">
        <v>31</v>
      </c>
      <c r="E41" s="12">
        <v>11</v>
      </c>
    </row>
    <row r="42" spans="1:5">
      <c r="A42" s="20" t="str">
        <f>A13</f>
        <v>LOS NOWY DWÓR MAZ. 2</v>
      </c>
      <c r="B42" s="20" t="str">
        <f>A11</f>
        <v>SPARTA GRODZISK MAZ. 1</v>
      </c>
      <c r="C42" s="12">
        <v>6</v>
      </c>
      <c r="D42" s="12" t="s">
        <v>31</v>
      </c>
      <c r="E42" s="12">
        <v>11</v>
      </c>
    </row>
    <row r="43" spans="1:5">
      <c r="A43" s="20" t="str">
        <f>A12</f>
        <v>VOLLEY RADZIEJOWICE 5</v>
      </c>
      <c r="B43" s="20" t="str">
        <f>A10</f>
        <v>MOS WOLA 2</v>
      </c>
      <c r="C43" s="12">
        <v>11</v>
      </c>
      <c r="D43" s="12" t="s">
        <v>31</v>
      </c>
      <c r="E43" s="12">
        <v>0</v>
      </c>
    </row>
    <row r="44" spans="1:5">
      <c r="A44" s="20" t="str">
        <f t="shared" ref="A44:A51" si="36">A4</f>
        <v>VOLLEY RADZIEJOWICE 4</v>
      </c>
      <c r="B44" s="20" t="str">
        <f>A9</f>
        <v>ISKRA WARSZAWA 11</v>
      </c>
      <c r="C44" s="12">
        <v>0</v>
      </c>
      <c r="D44" s="12" t="s">
        <v>31</v>
      </c>
      <c r="E44" s="12">
        <v>11</v>
      </c>
    </row>
    <row r="45" spans="1:5">
      <c r="A45" s="20" t="str">
        <f t="shared" si="36"/>
        <v>SASKA WARSZAWA 2</v>
      </c>
      <c r="B45" s="20" t="str">
        <f>A8</f>
        <v>LOS NOWY DWÓR MAZ. 1</v>
      </c>
      <c r="C45" s="12">
        <v>11</v>
      </c>
      <c r="D45" s="12" t="s">
        <v>31</v>
      </c>
      <c r="E45" s="12">
        <v>10</v>
      </c>
    </row>
    <row r="46" spans="1:5">
      <c r="A46" s="20" t="str">
        <f t="shared" si="36"/>
        <v>METRO WARSZAWA 5</v>
      </c>
      <c r="B46" s="20" t="str">
        <f>A7</f>
        <v>SPARTA GRODZISK MAZ. 2</v>
      </c>
      <c r="C46" s="12">
        <v>7</v>
      </c>
      <c r="D46" s="12" t="s">
        <v>31</v>
      </c>
      <c r="E46" s="12">
        <v>11</v>
      </c>
    </row>
    <row r="47" spans="1:5">
      <c r="A47" s="20" t="str">
        <f t="shared" si="36"/>
        <v>SPARTA GRODZISK MAZ. 2</v>
      </c>
      <c r="B47" s="20" t="str">
        <f>A13</f>
        <v>LOS NOWY DWÓR MAZ. 2</v>
      </c>
      <c r="C47" s="12">
        <v>11</v>
      </c>
      <c r="D47" s="12" t="s">
        <v>31</v>
      </c>
      <c r="E47" s="12">
        <v>5</v>
      </c>
    </row>
    <row r="48" spans="1:5">
      <c r="A48" s="20" t="str">
        <f t="shared" si="36"/>
        <v>LOS NOWY DWÓR MAZ. 1</v>
      </c>
      <c r="B48" s="20" t="str">
        <f>A6</f>
        <v>METRO WARSZAWA 5</v>
      </c>
      <c r="C48" s="12">
        <v>10</v>
      </c>
      <c r="D48" s="12" t="s">
        <v>31</v>
      </c>
      <c r="E48" s="12">
        <v>11</v>
      </c>
    </row>
    <row r="49" spans="1:5">
      <c r="A49" s="20" t="str">
        <f t="shared" si="36"/>
        <v>ISKRA WARSZAWA 11</v>
      </c>
      <c r="B49" s="20" t="str">
        <f>A5</f>
        <v>SASKA WARSZAWA 2</v>
      </c>
      <c r="C49" s="12">
        <v>11</v>
      </c>
      <c r="D49" s="12" t="s">
        <v>31</v>
      </c>
      <c r="E49" s="12">
        <v>10</v>
      </c>
    </row>
    <row r="50" spans="1:5">
      <c r="A50" s="20" t="str">
        <f t="shared" si="36"/>
        <v>MOS WOLA 2</v>
      </c>
      <c r="B50" s="20" t="str">
        <f>A4</f>
        <v>VOLLEY RADZIEJOWICE 4</v>
      </c>
      <c r="C50" s="12">
        <v>0</v>
      </c>
      <c r="D50" s="12" t="s">
        <v>31</v>
      </c>
      <c r="E50" s="12">
        <v>0</v>
      </c>
    </row>
    <row r="51" spans="1:5">
      <c r="A51" s="20" t="str">
        <f t="shared" si="36"/>
        <v>SPARTA GRODZISK MAZ. 1</v>
      </c>
      <c r="B51" s="20" t="str">
        <f>A12</f>
        <v>VOLLEY RADZIEJOWICE 5</v>
      </c>
      <c r="C51" s="12">
        <v>11</v>
      </c>
      <c r="D51" s="12" t="s">
        <v>31</v>
      </c>
      <c r="E51" s="12">
        <v>4</v>
      </c>
    </row>
    <row r="52" spans="1:5">
      <c r="A52" s="20" t="str">
        <f>A13</f>
        <v>LOS NOWY DWÓR MAZ. 2</v>
      </c>
      <c r="B52" s="20" t="str">
        <f>A12</f>
        <v>VOLLEY RADZIEJOWICE 5</v>
      </c>
      <c r="C52" s="12">
        <v>11</v>
      </c>
      <c r="D52" s="12" t="s">
        <v>31</v>
      </c>
      <c r="E52" s="12">
        <v>10</v>
      </c>
    </row>
    <row r="53" spans="1:5">
      <c r="A53" s="20" t="str">
        <f t="shared" ref="A53:A61" si="37">A4</f>
        <v>VOLLEY RADZIEJOWICE 4</v>
      </c>
      <c r="B53" s="20" t="str">
        <f>A11</f>
        <v>SPARTA GRODZISK MAZ. 1</v>
      </c>
      <c r="C53" s="12">
        <v>0</v>
      </c>
      <c r="D53" s="12" t="s">
        <v>31</v>
      </c>
      <c r="E53" s="12">
        <v>11</v>
      </c>
    </row>
    <row r="54" spans="1:5">
      <c r="A54" s="20" t="str">
        <f t="shared" si="37"/>
        <v>SASKA WARSZAWA 2</v>
      </c>
      <c r="B54" s="20" t="str">
        <f>A10</f>
        <v>MOS WOLA 2</v>
      </c>
      <c r="C54" s="12">
        <v>11</v>
      </c>
      <c r="D54" s="12" t="s">
        <v>31</v>
      </c>
      <c r="E54" s="12">
        <v>0</v>
      </c>
    </row>
    <row r="55" spans="1:5">
      <c r="A55" s="20" t="str">
        <f t="shared" si="37"/>
        <v>METRO WARSZAWA 5</v>
      </c>
      <c r="B55" s="20" t="str">
        <f>A9</f>
        <v>ISKRA WARSZAWA 11</v>
      </c>
      <c r="C55" s="12">
        <v>11</v>
      </c>
      <c r="D55" s="12" t="s">
        <v>31</v>
      </c>
      <c r="E55" s="12">
        <v>6</v>
      </c>
    </row>
    <row r="56" spans="1:5">
      <c r="A56" s="20" t="str">
        <f t="shared" si="37"/>
        <v>SPARTA GRODZISK MAZ. 2</v>
      </c>
      <c r="B56" s="20" t="str">
        <f>A8</f>
        <v>LOS NOWY DWÓR MAZ. 1</v>
      </c>
      <c r="C56" s="12">
        <v>8</v>
      </c>
      <c r="D56" s="12" t="s">
        <v>31</v>
      </c>
      <c r="E56" s="12">
        <v>11</v>
      </c>
    </row>
    <row r="57" spans="1:5">
      <c r="A57" s="20" t="str">
        <f t="shared" si="37"/>
        <v>LOS NOWY DWÓR MAZ. 1</v>
      </c>
      <c r="B57" s="20" t="str">
        <f>A13</f>
        <v>LOS NOWY DWÓR MAZ. 2</v>
      </c>
      <c r="C57" s="12">
        <v>11</v>
      </c>
      <c r="D57" s="12" t="s">
        <v>31</v>
      </c>
      <c r="E57" s="12">
        <v>9</v>
      </c>
    </row>
    <row r="58" spans="1:5">
      <c r="A58" s="20" t="str">
        <f t="shared" si="37"/>
        <v>ISKRA WARSZAWA 11</v>
      </c>
      <c r="B58" s="20" t="str">
        <f>A7</f>
        <v>SPARTA GRODZISK MAZ. 2</v>
      </c>
      <c r="C58" s="12">
        <v>11</v>
      </c>
      <c r="D58" s="12" t="s">
        <v>31</v>
      </c>
      <c r="E58" s="12">
        <v>2</v>
      </c>
    </row>
    <row r="59" spans="1:5">
      <c r="A59" s="20" t="str">
        <f t="shared" si="37"/>
        <v>MOS WOLA 2</v>
      </c>
      <c r="B59" s="20" t="str">
        <f>A6</f>
        <v>METRO WARSZAWA 5</v>
      </c>
      <c r="C59" s="12">
        <v>0</v>
      </c>
      <c r="D59" s="12" t="s">
        <v>31</v>
      </c>
      <c r="E59" s="12">
        <v>11</v>
      </c>
    </row>
    <row r="60" spans="1:5">
      <c r="A60" s="20" t="str">
        <f t="shared" si="37"/>
        <v>SPARTA GRODZISK MAZ. 1</v>
      </c>
      <c r="B60" s="20" t="str">
        <f>A5</f>
        <v>SASKA WARSZAWA 2</v>
      </c>
      <c r="C60" s="12">
        <v>11</v>
      </c>
      <c r="D60" s="12" t="s">
        <v>31</v>
      </c>
      <c r="E60" s="12">
        <v>7</v>
      </c>
    </row>
    <row r="61" spans="1:5">
      <c r="A61" s="20" t="str">
        <f t="shared" si="37"/>
        <v>VOLLEY RADZIEJOWICE 5</v>
      </c>
      <c r="B61" s="20" t="str">
        <f>A4</f>
        <v>VOLLEY RADZIEJOWICE 4</v>
      </c>
      <c r="C61" s="12">
        <v>11</v>
      </c>
      <c r="D61" s="12" t="s">
        <v>31</v>
      </c>
      <c r="E61" s="12">
        <v>0</v>
      </c>
    </row>
  </sheetData>
  <autoFilter ref="A16:B6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302B-DDB2-4FF7-B22C-444A35E5B6ED}">
  <sheetPr>
    <pageSetUpPr fitToPage="1"/>
  </sheetPr>
  <dimension ref="A1:AC61"/>
  <sheetViews>
    <sheetView workbookViewId="0">
      <selection activeCell="F54" sqref="F54"/>
    </sheetView>
  </sheetViews>
  <sheetFormatPr defaultColWidth="8.85546875" defaultRowHeight="15"/>
  <cols>
    <col min="1" max="2" width="22.7109375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3.140625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customWidth="1"/>
    <col min="19" max="19" width="12.7109375" style="2" customWidth="1"/>
    <col min="20" max="26" width="9.140625" style="2" customWidth="1"/>
    <col min="27" max="27" width="7" style="2" customWidth="1"/>
    <col min="28" max="28" width="9.140625" style="2" customWidth="1"/>
    <col min="29" max="29" width="8.85546875" style="2" customWidth="1"/>
    <col min="30" max="16384" width="8.85546875" style="2"/>
  </cols>
  <sheetData>
    <row r="1" spans="1:29" ht="28.5">
      <c r="A1" s="1" t="s">
        <v>55</v>
      </c>
      <c r="S1" s="2" t="s">
        <v>1</v>
      </c>
      <c r="T1" s="2" t="b">
        <f>ROWS(homescore)-COUNT(homescore)=0</f>
        <v>1</v>
      </c>
    </row>
    <row r="2" spans="1:29"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6" t="s">
        <v>9</v>
      </c>
      <c r="P2" s="6" t="s">
        <v>10</v>
      </c>
      <c r="T2" s="7" t="s">
        <v>3</v>
      </c>
      <c r="U2" s="8" t="s">
        <v>11</v>
      </c>
      <c r="V2" s="8" t="s">
        <v>12</v>
      </c>
      <c r="W2" s="9" t="s">
        <v>13</v>
      </c>
      <c r="X2" s="4" t="s">
        <v>14</v>
      </c>
      <c r="Y2" s="8" t="s">
        <v>15</v>
      </c>
      <c r="Z2" s="22" t="s">
        <v>16</v>
      </c>
      <c r="AA2" s="9" t="s">
        <v>12</v>
      </c>
      <c r="AB2" s="9" t="s">
        <v>17</v>
      </c>
      <c r="AC2" s="2" t="s">
        <v>18</v>
      </c>
    </row>
    <row r="3" spans="1:29">
      <c r="A3" s="10" t="s">
        <v>2</v>
      </c>
      <c r="B3" s="11"/>
      <c r="H3" s="12" t="str">
        <f>_xlfn.XLOOKUP(1,$AC$3:$AC$12,$S$3:$S$12)</f>
        <v>RCS RADOM 3</v>
      </c>
      <c r="I3" s="12">
        <f t="shared" ref="I3:I12" si="0">VLOOKUP($H3,$S$3:$AA$12,2,0)</f>
        <v>9</v>
      </c>
      <c r="J3" s="12">
        <f t="shared" ref="J3:J12" si="1">VLOOKUP($H3,$S$3:$AA$12,3,0)</f>
        <v>9</v>
      </c>
      <c r="K3" s="12">
        <f t="shared" ref="K3:K12" si="2">VLOOKUP($H3,$S$3:$AA$12,4,0)</f>
        <v>0</v>
      </c>
      <c r="L3" s="12">
        <f t="shared" ref="L3:L12" si="3">VLOOKUP($H3,$S$3:$AA$12,5,0)</f>
        <v>99</v>
      </c>
      <c r="M3" s="12">
        <f t="shared" ref="M3:M12" si="4">VLOOKUP($H3,$S$3:$AA$12,6,0)</f>
        <v>64</v>
      </c>
      <c r="N3" s="12">
        <f t="shared" ref="N3:N12" si="5">VLOOKUP($H3,$S$3:$AA$12,7,0)</f>
        <v>35</v>
      </c>
      <c r="O3" s="21">
        <f>IF(Tabela1456[[#This Row],[STRACONE]]=0,0,Tabela1456[[#This Row],[ZDOBYTE]]/Tabela1456[[#This Row],[STRACONE]])</f>
        <v>1.546875</v>
      </c>
      <c r="P3" s="13">
        <f t="shared" ref="P3:P12" si="6">VLOOKUP($H3,$S$3:$AB$12,9,0)</f>
        <v>18</v>
      </c>
      <c r="S3" s="14" t="str">
        <f t="shared" ref="S3:S10" si="7">A4</f>
        <v>KPS PŁOCK 1</v>
      </c>
      <c r="T3" s="15" cm="1">
        <f t="array" ref="T3">SUM((home=S3)*(ISNUMBER(homescore)),(visitor=S3)*(ISNUMBER(visitorscore)))</f>
        <v>9</v>
      </c>
      <c r="U3" s="3">
        <f t="array" ref="U3">SUM((home=S3)*(homescore&gt;visitorscore),(visitor=S3)*(visitorscore&gt;homescore))</f>
        <v>2</v>
      </c>
      <c r="V3" s="3">
        <f t="array" ref="V3">SUM((home=S3)*(homescore&lt;visitorscore),(visitor=S3)*(visitorscore&lt;homescore))</f>
        <v>7</v>
      </c>
      <c r="W3" s="16">
        <f t="shared" ref="W3" si="8">SUMIF(home,S3,homescore)+SUMIF(visitor,S3,visitorscore)</f>
        <v>68</v>
      </c>
      <c r="X3" s="17">
        <f t="shared" ref="X3" si="9">SUMIF(home,S3,visitorscore)+SUMIF(visitor,S3,homescore)</f>
        <v>91</v>
      </c>
      <c r="Y3" s="3">
        <f>W3-X3</f>
        <v>-23</v>
      </c>
      <c r="Z3" s="23">
        <f>IF(X3&gt;0,W3/X3,0)</f>
        <v>0.74725274725274726</v>
      </c>
      <c r="AA3" s="16">
        <f>2*U3</f>
        <v>4</v>
      </c>
      <c r="AB3" s="18">
        <f>W3+Z3*1000+Y3*10000+AA3*100000000</f>
        <v>399770815.25274724</v>
      </c>
      <c r="AC3" s="2">
        <f>RANK(AB3,$AB$3:$AB$12)</f>
        <v>10</v>
      </c>
    </row>
    <row r="4" spans="1:29">
      <c r="A4" s="49" t="s">
        <v>56</v>
      </c>
      <c r="H4" s="12" t="str">
        <f>_xlfn.XLOOKUP(2,$AC$3:$AC$12,$S$3:$S$12)</f>
        <v>OLIMP TŁUSZCZ 1</v>
      </c>
      <c r="I4" s="12">
        <f t="shared" si="0"/>
        <v>9</v>
      </c>
      <c r="J4" s="12">
        <f t="shared" si="1"/>
        <v>6</v>
      </c>
      <c r="K4" s="12">
        <f t="shared" si="2"/>
        <v>3</v>
      </c>
      <c r="L4" s="12">
        <f t="shared" si="3"/>
        <v>90</v>
      </c>
      <c r="M4" s="12">
        <f t="shared" si="4"/>
        <v>67</v>
      </c>
      <c r="N4" s="12">
        <f t="shared" si="5"/>
        <v>23</v>
      </c>
      <c r="O4" s="21">
        <f>IF(Tabela1456[[#This Row],[STRACONE]]=0,0,Tabela1456[[#This Row],[ZDOBYTE]]/Tabela1456[[#This Row],[STRACONE]])</f>
        <v>1.3432835820895523</v>
      </c>
      <c r="P4" s="13">
        <f t="shared" si="6"/>
        <v>12</v>
      </c>
      <c r="S4" s="19" t="str">
        <f t="shared" si="7"/>
        <v>SASKA WARSZAWA 1</v>
      </c>
      <c r="T4" s="15" cm="1">
        <f t="array" ref="T4">SUM((home=S4)*(ISNUMBER(homescore)),(visitor=S4)*(ISNUMBER(visitorscore)))</f>
        <v>9</v>
      </c>
      <c r="U4" s="3">
        <f t="array" ref="U4">SUM((home=S4)*(homescore&gt;visitorscore),(visitor=S4)*(visitorscore&gt;homescore))</f>
        <v>3</v>
      </c>
      <c r="V4" s="3">
        <f t="array" ref="V4">SUM((home=S4)*(homescore&lt;visitorscore),(visitor=S4)*(visitorscore&lt;homescore))</f>
        <v>6</v>
      </c>
      <c r="W4" s="16">
        <f t="shared" ref="W4" si="10">SUMIF(home,S4,homescore)+SUMIF(visitor,S4,visitorscore)</f>
        <v>80</v>
      </c>
      <c r="X4" s="17">
        <f t="shared" ref="X4" si="11">SUMIF(home,S4,visitorscore)+SUMIF(visitor,S4,homescore)</f>
        <v>82</v>
      </c>
      <c r="Y4" s="3">
        <f t="shared" ref="Y4:Y11" si="12">W4-X4</f>
        <v>-2</v>
      </c>
      <c r="Z4" s="23">
        <f t="shared" ref="Z4:Z11" si="13">IF(X4&gt;0,W4/X4,0)</f>
        <v>0.97560975609756095</v>
      </c>
      <c r="AA4" s="16">
        <f t="shared" ref="AA4:AA11" si="14">2*U4</f>
        <v>6</v>
      </c>
      <c r="AB4" s="18">
        <f t="shared" ref="AB4:AB11" si="15">W4+Z4*1000+Y4*10000+AA4*100000000</f>
        <v>599981055.60975611</v>
      </c>
      <c r="AC4" s="2">
        <f t="shared" ref="AC4:AC12" si="16">RANK(AB4,$AB$3:$AB$12)</f>
        <v>7</v>
      </c>
    </row>
    <row r="5" spans="1:29">
      <c r="A5" s="49" t="s">
        <v>57</v>
      </c>
      <c r="H5" s="12" t="str">
        <f>_xlfn.XLOOKUP(3,$AC$3:$AC$12,$S$3:$S$12)</f>
        <v>VOLLEY RADZIEJOWICE 7</v>
      </c>
      <c r="I5" s="12">
        <f t="shared" si="0"/>
        <v>9</v>
      </c>
      <c r="J5" s="12">
        <f t="shared" si="1"/>
        <v>6</v>
      </c>
      <c r="K5" s="12">
        <f t="shared" si="2"/>
        <v>3</v>
      </c>
      <c r="L5" s="12">
        <f t="shared" si="3"/>
        <v>88</v>
      </c>
      <c r="M5" s="12">
        <f t="shared" si="4"/>
        <v>76</v>
      </c>
      <c r="N5" s="12">
        <f t="shared" si="5"/>
        <v>12</v>
      </c>
      <c r="O5" s="21">
        <f>IF(Tabela1456[[#This Row],[STRACONE]]=0,0,Tabela1456[[#This Row],[ZDOBYTE]]/Tabela1456[[#This Row],[STRACONE]])</f>
        <v>1.1578947368421053</v>
      </c>
      <c r="P5" s="13">
        <f t="shared" si="6"/>
        <v>12</v>
      </c>
      <c r="S5" s="19" t="str">
        <f t="shared" si="7"/>
        <v>RCS RADOM 3</v>
      </c>
      <c r="T5" s="15" cm="1">
        <f t="array" ref="T5">SUM((home=S5)*(ISNUMBER(homescore)),(visitor=S5)*(ISNUMBER(visitorscore)))</f>
        <v>9</v>
      </c>
      <c r="U5" s="3">
        <f t="array" ref="U5">SUM((home=S5)*(homescore&gt;visitorscore),(visitor=S5)*(visitorscore&gt;homescore))</f>
        <v>9</v>
      </c>
      <c r="V5" s="3">
        <f t="array" ref="V5">SUM((home=S5)*(homescore&lt;visitorscore),(visitor=S5)*(visitorscore&lt;homescore))</f>
        <v>0</v>
      </c>
      <c r="W5" s="16">
        <f t="shared" ref="W5" si="17">SUMIF(home,S5,homescore)+SUMIF(visitor,S5,visitorscore)</f>
        <v>99</v>
      </c>
      <c r="X5" s="17">
        <f t="shared" ref="X5" si="18">SUMIF(home,S5,visitorscore)+SUMIF(visitor,S5,homescore)</f>
        <v>64</v>
      </c>
      <c r="Y5" s="3">
        <f t="shared" si="12"/>
        <v>35</v>
      </c>
      <c r="Z5" s="23">
        <f t="shared" si="13"/>
        <v>1.546875</v>
      </c>
      <c r="AA5" s="16">
        <f t="shared" si="14"/>
        <v>18</v>
      </c>
      <c r="AB5" s="18">
        <f t="shared" si="15"/>
        <v>1800351645.875</v>
      </c>
      <c r="AC5" s="2">
        <f t="shared" si="16"/>
        <v>1</v>
      </c>
    </row>
    <row r="6" spans="1:29">
      <c r="A6" s="49" t="s">
        <v>58</v>
      </c>
      <c r="H6" s="12" t="str">
        <f>_xlfn.XLOOKUP(4,$AC$3:$AC$12,$S$3:$S$12)</f>
        <v>UKS LESZNOWOLA 4</v>
      </c>
      <c r="I6" s="12">
        <f t="shared" si="0"/>
        <v>9</v>
      </c>
      <c r="J6" s="12">
        <f t="shared" si="1"/>
        <v>5</v>
      </c>
      <c r="K6" s="12">
        <f t="shared" si="2"/>
        <v>4</v>
      </c>
      <c r="L6" s="12">
        <f t="shared" si="3"/>
        <v>86</v>
      </c>
      <c r="M6" s="12">
        <f t="shared" si="4"/>
        <v>80</v>
      </c>
      <c r="N6" s="12">
        <f t="shared" si="5"/>
        <v>6</v>
      </c>
      <c r="O6" s="21">
        <f>IF(Tabela1456[[#This Row],[STRACONE]]=0,0,Tabela1456[[#This Row],[ZDOBYTE]]/Tabela1456[[#This Row],[STRACONE]])</f>
        <v>1.075</v>
      </c>
      <c r="P6" s="13">
        <f t="shared" si="6"/>
        <v>10</v>
      </c>
      <c r="S6" s="19" t="str">
        <f t="shared" si="7"/>
        <v>PERŁA ZŁOTOKŁOS 1</v>
      </c>
      <c r="T6" s="15" cm="1">
        <f t="array" ref="T6">SUM((home=S6)*(ISNUMBER(homescore)),(visitor=S6)*(ISNUMBER(visitorscore)))</f>
        <v>9</v>
      </c>
      <c r="U6" s="3">
        <f t="array" ref="U6">SUM((home=S6)*(homescore&gt;visitorscore),(visitor=S6)*(visitorscore&gt;homescore))</f>
        <v>3</v>
      </c>
      <c r="V6" s="3">
        <f t="array" ref="V6">SUM((home=S6)*(homescore&lt;visitorscore),(visitor=S6)*(visitorscore&lt;homescore))</f>
        <v>6</v>
      </c>
      <c r="W6" s="16">
        <f t="shared" ref="W6" si="19">SUMIF(home,S6,homescore)+SUMIF(visitor,S6,visitorscore)</f>
        <v>75</v>
      </c>
      <c r="X6" s="17">
        <f t="shared" ref="X6" si="20">SUMIF(home,S6,visitorscore)+SUMIF(visitor,S6,homescore)</f>
        <v>90</v>
      </c>
      <c r="Y6" s="3">
        <f t="shared" si="12"/>
        <v>-15</v>
      </c>
      <c r="Z6" s="23">
        <f t="shared" si="13"/>
        <v>0.83333333333333337</v>
      </c>
      <c r="AA6" s="16">
        <f t="shared" si="14"/>
        <v>6</v>
      </c>
      <c r="AB6" s="18">
        <f t="shared" si="15"/>
        <v>599850908.33333337</v>
      </c>
      <c r="AC6" s="2">
        <f t="shared" si="16"/>
        <v>8</v>
      </c>
    </row>
    <row r="7" spans="1:29">
      <c r="A7" s="49" t="s">
        <v>59</v>
      </c>
      <c r="H7" s="12" t="str">
        <f>_xlfn.XLOOKUP(5,$AC$3:$AC$12,$S$3:$S$12)</f>
        <v>ISKRA WARSZAWA 5</v>
      </c>
      <c r="I7" s="12">
        <f t="shared" si="0"/>
        <v>9</v>
      </c>
      <c r="J7" s="12">
        <f t="shared" si="1"/>
        <v>4</v>
      </c>
      <c r="K7" s="12">
        <f t="shared" si="2"/>
        <v>5</v>
      </c>
      <c r="L7" s="12">
        <f t="shared" si="3"/>
        <v>83</v>
      </c>
      <c r="M7" s="12">
        <f t="shared" si="4"/>
        <v>83</v>
      </c>
      <c r="N7" s="12">
        <f t="shared" si="5"/>
        <v>0</v>
      </c>
      <c r="O7" s="21">
        <f>IF(Tabela1456[[#This Row],[STRACONE]]=0,0,Tabela1456[[#This Row],[ZDOBYTE]]/Tabela1456[[#This Row],[STRACONE]])</f>
        <v>1</v>
      </c>
      <c r="P7" s="13">
        <f t="shared" si="6"/>
        <v>8</v>
      </c>
      <c r="S7" s="19" t="str">
        <f t="shared" si="7"/>
        <v>ISKRA WARSZAWA 5</v>
      </c>
      <c r="T7" s="15" cm="1">
        <f t="array" ref="T7">SUM((home=S7)*(ISNUMBER(homescore)),(visitor=S7)*(ISNUMBER(visitorscore)))</f>
        <v>9</v>
      </c>
      <c r="U7" s="3">
        <f t="array" ref="U7">SUM((home=S7)*(homescore&gt;visitorscore),(visitor=S7)*(visitorscore&gt;homescore))</f>
        <v>4</v>
      </c>
      <c r="V7" s="3">
        <f t="array" ref="V7">SUM((home=S7)*(homescore&lt;visitorscore),(visitor=S7)*(visitorscore&lt;homescore))</f>
        <v>5</v>
      </c>
      <c r="W7" s="16">
        <f t="shared" ref="W7" si="21">SUMIF(home,S7,homescore)+SUMIF(visitor,S7,visitorscore)</f>
        <v>83</v>
      </c>
      <c r="X7" s="17">
        <f t="shared" ref="X7" si="22">SUMIF(home,S7,visitorscore)+SUMIF(visitor,S7,homescore)</f>
        <v>83</v>
      </c>
      <c r="Y7" s="3">
        <f t="shared" si="12"/>
        <v>0</v>
      </c>
      <c r="Z7" s="23">
        <f t="shared" si="13"/>
        <v>1</v>
      </c>
      <c r="AA7" s="16">
        <f t="shared" si="14"/>
        <v>8</v>
      </c>
      <c r="AB7" s="18">
        <f t="shared" si="15"/>
        <v>800001083</v>
      </c>
      <c r="AC7" s="2">
        <f t="shared" si="16"/>
        <v>5</v>
      </c>
    </row>
    <row r="8" spans="1:29">
      <c r="A8" s="49" t="s">
        <v>60</v>
      </c>
      <c r="H8" s="12" t="str">
        <f>_xlfn.XLOOKUP(6,$AC$3:$AC$12,$S$3:$S$12)</f>
        <v>UKS LESZNOWOLA 5</v>
      </c>
      <c r="I8" s="12">
        <f t="shared" si="0"/>
        <v>9</v>
      </c>
      <c r="J8" s="12">
        <f t="shared" si="1"/>
        <v>4</v>
      </c>
      <c r="K8" s="12">
        <f t="shared" si="2"/>
        <v>5</v>
      </c>
      <c r="L8" s="12">
        <f t="shared" si="3"/>
        <v>75</v>
      </c>
      <c r="M8" s="12">
        <f t="shared" si="4"/>
        <v>82</v>
      </c>
      <c r="N8" s="12">
        <f t="shared" si="5"/>
        <v>-7</v>
      </c>
      <c r="O8" s="21">
        <f>IF(Tabela1456[[#This Row],[STRACONE]]=0,0,Tabela1456[[#This Row],[ZDOBYTE]]/Tabela1456[[#This Row],[STRACONE]])</f>
        <v>0.91463414634146345</v>
      </c>
      <c r="P8" s="13">
        <f t="shared" si="6"/>
        <v>8</v>
      </c>
      <c r="S8" s="19" t="str">
        <f t="shared" si="7"/>
        <v>VOLLEY RADZIEJOWICE 7</v>
      </c>
      <c r="T8" s="15" cm="1">
        <f t="array" ref="T8">SUM((home=S8)*(ISNUMBER(homescore)),(visitor=S8)*(ISNUMBER(visitorscore)))</f>
        <v>9</v>
      </c>
      <c r="U8" s="3">
        <f t="array" ref="U8">SUM((home=S8)*(homescore&gt;visitorscore),(visitor=S8)*(visitorscore&gt;homescore))</f>
        <v>6</v>
      </c>
      <c r="V8" s="3">
        <f t="array" ref="V8">SUM((home=S8)*(homescore&lt;visitorscore),(visitor=S8)*(visitorscore&lt;homescore))</f>
        <v>3</v>
      </c>
      <c r="W8" s="16">
        <f t="shared" ref="W8" si="23">SUMIF(home,S8,homescore)+SUMIF(visitor,S8,visitorscore)</f>
        <v>88</v>
      </c>
      <c r="X8" s="17">
        <f t="shared" ref="X8" si="24">SUMIF(home,S8,visitorscore)+SUMIF(visitor,S8,homescore)</f>
        <v>76</v>
      </c>
      <c r="Y8" s="3">
        <f t="shared" si="12"/>
        <v>12</v>
      </c>
      <c r="Z8" s="23">
        <f t="shared" si="13"/>
        <v>1.1578947368421053</v>
      </c>
      <c r="AA8" s="16">
        <f t="shared" si="14"/>
        <v>12</v>
      </c>
      <c r="AB8" s="18">
        <f t="shared" si="15"/>
        <v>1200121245.8947368</v>
      </c>
      <c r="AC8" s="2">
        <f t="shared" si="16"/>
        <v>3</v>
      </c>
    </row>
    <row r="9" spans="1:29">
      <c r="A9" s="49" t="s">
        <v>61</v>
      </c>
      <c r="H9" s="12" t="str">
        <f>_xlfn.XLOOKUP(7,$AC$3:$AC$12,$S$3:$S$12)</f>
        <v>SASKA WARSZAWA 1</v>
      </c>
      <c r="I9" s="12">
        <f t="shared" si="0"/>
        <v>9</v>
      </c>
      <c r="J9" s="12">
        <f t="shared" si="1"/>
        <v>3</v>
      </c>
      <c r="K9" s="12">
        <f t="shared" si="2"/>
        <v>6</v>
      </c>
      <c r="L9" s="12">
        <f t="shared" si="3"/>
        <v>80</v>
      </c>
      <c r="M9" s="12">
        <f t="shared" si="4"/>
        <v>82</v>
      </c>
      <c r="N9" s="12">
        <f t="shared" si="5"/>
        <v>-2</v>
      </c>
      <c r="O9" s="21">
        <f>IF(Tabela1456[[#This Row],[STRACONE]]=0,0,Tabela1456[[#This Row],[ZDOBYTE]]/Tabela1456[[#This Row],[STRACONE]])</f>
        <v>0.97560975609756095</v>
      </c>
      <c r="P9" s="13">
        <f t="shared" si="6"/>
        <v>6</v>
      </c>
      <c r="S9" s="19" t="str">
        <f t="shared" si="7"/>
        <v>OLIMP TŁUSZCZ 1</v>
      </c>
      <c r="T9" s="15" cm="1">
        <f t="array" ref="T9">SUM((home=S9)*(ISNUMBER(homescore)),(visitor=S9)*(ISNUMBER(visitorscore)))</f>
        <v>9</v>
      </c>
      <c r="U9" s="3">
        <f t="array" ref="U9">SUM((home=S9)*(homescore&gt;visitorscore),(visitor=S9)*(visitorscore&gt;homescore))</f>
        <v>6</v>
      </c>
      <c r="V9" s="3">
        <f t="array" ref="V9">SUM((home=S9)*(homescore&lt;visitorscore),(visitor=S9)*(visitorscore&lt;homescore))</f>
        <v>3</v>
      </c>
      <c r="W9" s="16">
        <f t="shared" ref="W9" si="25">SUMIF(home,S9,homescore)+SUMIF(visitor,S9,visitorscore)</f>
        <v>90</v>
      </c>
      <c r="X9" s="17">
        <f t="shared" ref="X9" si="26">SUMIF(home,S9,visitorscore)+SUMIF(visitor,S9,homescore)</f>
        <v>67</v>
      </c>
      <c r="Y9" s="3">
        <f t="shared" si="12"/>
        <v>23</v>
      </c>
      <c r="Z9" s="23">
        <f t="shared" si="13"/>
        <v>1.3432835820895523</v>
      </c>
      <c r="AA9" s="16">
        <f t="shared" si="14"/>
        <v>12</v>
      </c>
      <c r="AB9" s="18">
        <f t="shared" si="15"/>
        <v>1200231433.283582</v>
      </c>
      <c r="AC9" s="2">
        <f t="shared" si="16"/>
        <v>2</v>
      </c>
    </row>
    <row r="10" spans="1:29">
      <c r="A10" s="49" t="s">
        <v>62</v>
      </c>
      <c r="H10" s="12" t="str">
        <f>_xlfn.XLOOKUP(8,$AC$3:$AC$12,$S$3:$S$12)</f>
        <v>PERŁA ZŁOTOKŁOS 1</v>
      </c>
      <c r="I10" s="12">
        <f t="shared" si="0"/>
        <v>9</v>
      </c>
      <c r="J10" s="12">
        <f t="shared" si="1"/>
        <v>3</v>
      </c>
      <c r="K10" s="12">
        <f t="shared" si="2"/>
        <v>6</v>
      </c>
      <c r="L10" s="12">
        <f t="shared" si="3"/>
        <v>75</v>
      </c>
      <c r="M10" s="12">
        <f t="shared" si="4"/>
        <v>90</v>
      </c>
      <c r="N10" s="12">
        <f t="shared" si="5"/>
        <v>-15</v>
      </c>
      <c r="O10" s="21">
        <f>IF(Tabela1456[[#This Row],[STRACONE]]=0,0,Tabela1456[[#This Row],[ZDOBYTE]]/Tabela1456[[#This Row],[STRACONE]])</f>
        <v>0.83333333333333337</v>
      </c>
      <c r="P10" s="13">
        <f t="shared" si="6"/>
        <v>6</v>
      </c>
      <c r="S10" s="19" t="str">
        <f t="shared" si="7"/>
        <v>UKS LESZNOWOLA 5</v>
      </c>
      <c r="T10" s="15" cm="1">
        <f t="array" ref="T10">SUM((home=S10)*(ISNUMBER(homescore)),(visitor=S10)*(ISNUMBER(visitorscore)))</f>
        <v>9</v>
      </c>
      <c r="U10" s="3">
        <f t="array" ref="U10">SUM((home=S10)*(homescore&gt;visitorscore),(visitor=S10)*(visitorscore&gt;homescore))</f>
        <v>4</v>
      </c>
      <c r="V10" s="3">
        <f t="array" ref="V10">SUM((home=S10)*(homescore&lt;visitorscore),(visitor=S10)*(visitorscore&lt;homescore))</f>
        <v>5</v>
      </c>
      <c r="W10" s="16">
        <f t="shared" ref="W10" si="27">SUMIF(home,S10,homescore)+SUMIF(visitor,S10,visitorscore)</f>
        <v>75</v>
      </c>
      <c r="X10" s="17">
        <f t="shared" ref="X10" si="28">SUMIF(home,S10,visitorscore)+SUMIF(visitor,S10,homescore)</f>
        <v>82</v>
      </c>
      <c r="Y10" s="3">
        <f t="shared" si="12"/>
        <v>-7</v>
      </c>
      <c r="Z10" s="23">
        <f t="shared" si="13"/>
        <v>0.91463414634146345</v>
      </c>
      <c r="AA10" s="16">
        <f t="shared" si="14"/>
        <v>8</v>
      </c>
      <c r="AB10" s="18">
        <f t="shared" si="15"/>
        <v>799930989.63414633</v>
      </c>
      <c r="AC10" s="2">
        <f t="shared" si="16"/>
        <v>6</v>
      </c>
    </row>
    <row r="11" spans="1:29">
      <c r="A11" s="49" t="s">
        <v>63</v>
      </c>
      <c r="H11" s="12" t="str">
        <f>_xlfn.XLOOKUP(9,$AC$3:$AC$12,$S$3:$S$12)</f>
        <v>VOLLEY RADZIEJOWICE 8</v>
      </c>
      <c r="I11" s="12">
        <f t="shared" si="0"/>
        <v>9</v>
      </c>
      <c r="J11" s="12">
        <f t="shared" si="1"/>
        <v>3</v>
      </c>
      <c r="K11" s="12">
        <f t="shared" si="2"/>
        <v>6</v>
      </c>
      <c r="L11" s="12">
        <f t="shared" si="3"/>
        <v>64</v>
      </c>
      <c r="M11" s="12">
        <f t="shared" si="4"/>
        <v>93</v>
      </c>
      <c r="N11" s="12">
        <f t="shared" si="5"/>
        <v>-29</v>
      </c>
      <c r="O11" s="21">
        <f>IF(Tabela1456[[#This Row],[STRACONE]]=0,0,Tabela1456[[#This Row],[ZDOBYTE]]/Tabela1456[[#This Row],[STRACONE]])</f>
        <v>0.68817204301075274</v>
      </c>
      <c r="P11" s="13">
        <f t="shared" si="6"/>
        <v>6</v>
      </c>
      <c r="S11" s="19" t="str">
        <f>A12</f>
        <v>VOLLEY RADZIEJOWICE 8</v>
      </c>
      <c r="T11" s="15" cm="1">
        <f t="array" ref="T11">SUM((home=S11)*(ISNUMBER(homescore)),(visitor=S11)*(ISNUMBER(visitorscore)))</f>
        <v>9</v>
      </c>
      <c r="U11" s="3">
        <f t="array" ref="U11">SUM((home=S11)*(homescore&gt;visitorscore),(visitor=S11)*(visitorscore&gt;homescore))</f>
        <v>3</v>
      </c>
      <c r="V11" s="3">
        <f t="array" ref="V11">SUM((home=S11)*(homescore&lt;visitorscore),(visitor=S11)*(visitorscore&lt;homescore))</f>
        <v>6</v>
      </c>
      <c r="W11" s="16">
        <f t="shared" ref="W11" si="29">SUMIF(home,S11,homescore)+SUMIF(visitor,S11,visitorscore)</f>
        <v>64</v>
      </c>
      <c r="X11" s="17">
        <f t="shared" ref="X11" si="30">SUMIF(home,S11,visitorscore)+SUMIF(visitor,S11,homescore)</f>
        <v>93</v>
      </c>
      <c r="Y11" s="3">
        <f t="shared" si="12"/>
        <v>-29</v>
      </c>
      <c r="Z11" s="23">
        <f t="shared" si="13"/>
        <v>0.68817204301075274</v>
      </c>
      <c r="AA11" s="16">
        <f t="shared" si="14"/>
        <v>6</v>
      </c>
      <c r="AB11" s="18">
        <f t="shared" si="15"/>
        <v>599710752.17204297</v>
      </c>
      <c r="AC11" s="2">
        <f t="shared" si="16"/>
        <v>9</v>
      </c>
    </row>
    <row r="12" spans="1:29">
      <c r="A12" s="49" t="s">
        <v>64</v>
      </c>
      <c r="H12" s="12" t="str">
        <f>_xlfn.XLOOKUP(10,$AC$3:$AC$12,$S$3:$S$12)</f>
        <v>KPS PŁOCK 1</v>
      </c>
      <c r="I12" s="12">
        <f t="shared" si="0"/>
        <v>9</v>
      </c>
      <c r="J12" s="12">
        <f t="shared" si="1"/>
        <v>2</v>
      </c>
      <c r="K12" s="12">
        <f t="shared" si="2"/>
        <v>7</v>
      </c>
      <c r="L12" s="12">
        <f t="shared" si="3"/>
        <v>68</v>
      </c>
      <c r="M12" s="12">
        <f t="shared" si="4"/>
        <v>91</v>
      </c>
      <c r="N12" s="12">
        <f t="shared" si="5"/>
        <v>-23</v>
      </c>
      <c r="O12" s="21">
        <f>IF(Tabela1456[[#This Row],[STRACONE]]=0,0,Tabela1456[[#This Row],[ZDOBYTE]]/Tabela1456[[#This Row],[STRACONE]])</f>
        <v>0.74725274725274726</v>
      </c>
      <c r="P12" s="13">
        <f t="shared" si="6"/>
        <v>4</v>
      </c>
      <c r="S12" s="24" t="str">
        <f t="shared" ref="S12" si="31">A13</f>
        <v>UKS LESZNOWOLA 4</v>
      </c>
      <c r="T12" s="15" cm="1">
        <f t="array" ref="T12">SUM((home=S12)*(ISNUMBER(homescore)),(visitor=S12)*(ISNUMBER(visitorscore)))</f>
        <v>9</v>
      </c>
      <c r="U12" s="3">
        <f t="array" ref="U12">SUM((home=S12)*(homescore&gt;visitorscore),(visitor=S12)*(visitorscore&gt;homescore))</f>
        <v>5</v>
      </c>
      <c r="V12" s="3">
        <f t="array" ref="V12">SUM((home=S12)*(homescore&lt;visitorscore),(visitor=S12)*(visitorscore&lt;homescore))</f>
        <v>4</v>
      </c>
      <c r="W12" s="16">
        <f t="shared" ref="W12" si="32">SUMIF(home,S12,homescore)+SUMIF(visitor,S12,visitorscore)</f>
        <v>86</v>
      </c>
      <c r="X12" s="17">
        <f t="shared" ref="X12" si="33">SUMIF(home,S12,visitorscore)+SUMIF(visitor,S12,homescore)</f>
        <v>80</v>
      </c>
      <c r="Y12" s="3">
        <f>W12-X12</f>
        <v>6</v>
      </c>
      <c r="Z12" s="23">
        <f>IF(X12&gt;0,W12/X12,0)</f>
        <v>1.075</v>
      </c>
      <c r="AA12" s="16">
        <f>2*U12</f>
        <v>10</v>
      </c>
      <c r="AB12" s="18">
        <f>W12+Z12*1000+Y12*10000+AA12*100000000</f>
        <v>1000061161</v>
      </c>
      <c r="AC12" s="2">
        <f t="shared" si="16"/>
        <v>4</v>
      </c>
    </row>
    <row r="13" spans="1:29">
      <c r="A13" s="49" t="s">
        <v>65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10" t="s">
        <v>29</v>
      </c>
      <c r="B16" s="10" t="s">
        <v>30</v>
      </c>
      <c r="H16"/>
      <c r="I16"/>
      <c r="J16"/>
      <c r="K16"/>
      <c r="L16"/>
      <c r="M16"/>
      <c r="N16"/>
      <c r="O16"/>
      <c r="P16"/>
    </row>
    <row r="17" spans="1:29">
      <c r="A17" s="20" t="str">
        <f>A4</f>
        <v>KPS PŁOCK 1</v>
      </c>
      <c r="B17" s="20" t="str">
        <f>A13</f>
        <v>UKS LESZNOWOLA 4</v>
      </c>
      <c r="C17" s="12">
        <v>4</v>
      </c>
      <c r="D17" s="12" t="s">
        <v>31</v>
      </c>
      <c r="E17" s="12">
        <v>11</v>
      </c>
      <c r="H17"/>
      <c r="I17"/>
      <c r="J17"/>
      <c r="K17"/>
      <c r="L17"/>
      <c r="M17"/>
      <c r="N17"/>
      <c r="O17"/>
      <c r="P17"/>
    </row>
    <row r="18" spans="1:29">
      <c r="A18" s="20" t="str">
        <f>A5</f>
        <v>SASKA WARSZAWA 1</v>
      </c>
      <c r="B18" s="20" t="str">
        <f>A12</f>
        <v>VOLLEY RADZIEJOWICE 8</v>
      </c>
      <c r="C18" s="12">
        <v>10</v>
      </c>
      <c r="D18" s="12" t="s">
        <v>31</v>
      </c>
      <c r="E18" s="12">
        <v>11</v>
      </c>
      <c r="F18" s="3"/>
      <c r="H18"/>
      <c r="I18"/>
      <c r="J18"/>
      <c r="K18"/>
      <c r="L18"/>
      <c r="M18"/>
      <c r="N18"/>
      <c r="O18"/>
      <c r="P18"/>
    </row>
    <row r="19" spans="1:29">
      <c r="A19" s="20" t="str">
        <f>A6</f>
        <v>RCS RADOM 3</v>
      </c>
      <c r="B19" s="20" t="str">
        <f>A11</f>
        <v>UKS LESZNOWOLA 5</v>
      </c>
      <c r="C19" s="12">
        <v>11</v>
      </c>
      <c r="D19" s="12" t="s">
        <v>31</v>
      </c>
      <c r="E19" s="12">
        <v>4</v>
      </c>
      <c r="F19" s="3"/>
      <c r="H19"/>
      <c r="I19"/>
      <c r="J19"/>
      <c r="K19"/>
      <c r="L19"/>
      <c r="M19"/>
      <c r="N19"/>
      <c r="O19"/>
      <c r="P19"/>
    </row>
    <row r="20" spans="1:29">
      <c r="A20" s="20" t="str">
        <f>A7</f>
        <v>PERŁA ZŁOTOKŁOS 1</v>
      </c>
      <c r="B20" s="20" t="str">
        <f>A10</f>
        <v>OLIMP TŁUSZCZ 1</v>
      </c>
      <c r="C20" s="12">
        <v>7</v>
      </c>
      <c r="D20" s="12" t="s">
        <v>31</v>
      </c>
      <c r="E20" s="12">
        <v>11</v>
      </c>
      <c r="F20" s="3"/>
      <c r="H20"/>
      <c r="I20"/>
      <c r="J20"/>
      <c r="K20"/>
      <c r="L20"/>
      <c r="M20"/>
      <c r="N20"/>
      <c r="O20"/>
      <c r="P20"/>
    </row>
    <row r="21" spans="1:29">
      <c r="A21" s="20" t="str">
        <f>A8</f>
        <v>ISKRA WARSZAWA 5</v>
      </c>
      <c r="B21" s="20" t="str">
        <f>A9</f>
        <v>VOLLEY RADZIEJOWICE 7</v>
      </c>
      <c r="C21" s="12">
        <v>7</v>
      </c>
      <c r="D21" s="12" t="s">
        <v>31</v>
      </c>
      <c r="E21" s="12">
        <v>11</v>
      </c>
      <c r="F21" s="3"/>
      <c r="H21"/>
      <c r="I21"/>
      <c r="J21"/>
      <c r="K21"/>
      <c r="L21"/>
      <c r="M21"/>
      <c r="N21"/>
      <c r="O21"/>
      <c r="P21"/>
    </row>
    <row r="22" spans="1:29">
      <c r="A22" s="20" t="str">
        <f>A13</f>
        <v>UKS LESZNOWOLA 4</v>
      </c>
      <c r="B22" s="20" t="str">
        <f>A9</f>
        <v>VOLLEY RADZIEJOWICE 7</v>
      </c>
      <c r="C22" s="12">
        <v>7</v>
      </c>
      <c r="D22" s="12" t="s">
        <v>31</v>
      </c>
      <c r="E22" s="12">
        <v>11</v>
      </c>
      <c r="F22" s="3"/>
      <c r="H22"/>
      <c r="I22"/>
      <c r="J22"/>
      <c r="K22"/>
      <c r="L22"/>
      <c r="M22"/>
      <c r="N22"/>
      <c r="O22"/>
      <c r="P22"/>
    </row>
    <row r="23" spans="1:29">
      <c r="A23" s="20" t="str">
        <f>A10</f>
        <v>OLIMP TŁUSZCZ 1</v>
      </c>
      <c r="B23" s="20" t="str">
        <f>A8</f>
        <v>ISKRA WARSZAWA 5</v>
      </c>
      <c r="C23" s="12">
        <v>11</v>
      </c>
      <c r="D23" s="12" t="s">
        <v>31</v>
      </c>
      <c r="E23" s="12">
        <v>7</v>
      </c>
      <c r="F23" s="3" t="s">
        <v>32</v>
      </c>
      <c r="H23"/>
      <c r="I23"/>
      <c r="J23"/>
      <c r="K23"/>
      <c r="L23"/>
      <c r="M23"/>
      <c r="N23"/>
      <c r="O23"/>
      <c r="P23"/>
    </row>
    <row r="24" spans="1:29" s="3" customFormat="1">
      <c r="A24" s="20" t="str">
        <f>A11</f>
        <v>UKS LESZNOWOLA 5</v>
      </c>
      <c r="B24" s="20" t="str">
        <f>A7</f>
        <v>PERŁA ZŁOTOKŁOS 1</v>
      </c>
      <c r="C24" s="12">
        <v>9</v>
      </c>
      <c r="D24" s="12" t="s">
        <v>31</v>
      </c>
      <c r="E24" s="12">
        <v>11</v>
      </c>
      <c r="H24"/>
      <c r="I24"/>
      <c r="J24"/>
      <c r="K24"/>
      <c r="L24"/>
      <c r="M24"/>
      <c r="N24"/>
      <c r="O24"/>
      <c r="P2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3" customFormat="1">
      <c r="A25" s="20" t="str">
        <f>A12</f>
        <v>VOLLEY RADZIEJOWICE 8</v>
      </c>
      <c r="B25" s="20" t="str">
        <f>A6</f>
        <v>RCS RADOM 3</v>
      </c>
      <c r="C25" s="12">
        <v>8</v>
      </c>
      <c r="D25" s="12" t="s">
        <v>31</v>
      </c>
      <c r="E25" s="12">
        <v>11</v>
      </c>
      <c r="F25" s="2"/>
      <c r="H25"/>
      <c r="I25"/>
      <c r="J25"/>
      <c r="K25"/>
      <c r="L25"/>
      <c r="M25"/>
      <c r="N25"/>
      <c r="O25"/>
      <c r="P2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3" customFormat="1">
      <c r="A26" s="20" t="str">
        <f t="shared" ref="A26:A31" si="34">A4</f>
        <v>KPS PŁOCK 1</v>
      </c>
      <c r="B26" s="20" t="str">
        <f>A5</f>
        <v>SASKA WARSZAWA 1</v>
      </c>
      <c r="C26" s="12">
        <v>4</v>
      </c>
      <c r="D26" s="12" t="s">
        <v>31</v>
      </c>
      <c r="E26" s="12">
        <v>11</v>
      </c>
      <c r="F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3" customFormat="1">
      <c r="A27" s="20" t="str">
        <f t="shared" si="34"/>
        <v>SASKA WARSZAWA 1</v>
      </c>
      <c r="B27" s="20" t="str">
        <f>A13</f>
        <v>UKS LESZNOWOLA 4</v>
      </c>
      <c r="C27" s="12">
        <v>6</v>
      </c>
      <c r="D27" s="12" t="s">
        <v>31</v>
      </c>
      <c r="E27" s="12">
        <v>11</v>
      </c>
      <c r="F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3" customFormat="1">
      <c r="A28" s="20" t="str">
        <f t="shared" si="34"/>
        <v>RCS RADOM 3</v>
      </c>
      <c r="B28" s="20" t="str">
        <f>A4</f>
        <v>KPS PŁOCK 1</v>
      </c>
      <c r="C28" s="12">
        <v>11</v>
      </c>
      <c r="D28" s="12" t="s">
        <v>31</v>
      </c>
      <c r="E28" s="12">
        <v>5</v>
      </c>
      <c r="F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3" customFormat="1">
      <c r="A29" s="20" t="str">
        <f t="shared" si="34"/>
        <v>PERŁA ZŁOTOKŁOS 1</v>
      </c>
      <c r="B29" s="20" t="str">
        <f>A12</f>
        <v>VOLLEY RADZIEJOWICE 8</v>
      </c>
      <c r="C29" s="12">
        <v>11</v>
      </c>
      <c r="D29" s="12" t="s">
        <v>31</v>
      </c>
      <c r="E29" s="12">
        <v>6</v>
      </c>
      <c r="F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0" t="str">
        <f t="shared" si="34"/>
        <v>ISKRA WARSZAWA 5</v>
      </c>
      <c r="B30" s="20" t="str">
        <f>A11</f>
        <v>UKS LESZNOWOLA 5</v>
      </c>
      <c r="C30" s="12">
        <v>11</v>
      </c>
      <c r="D30" s="12" t="s">
        <v>31</v>
      </c>
      <c r="E30" s="12">
        <v>8</v>
      </c>
    </row>
    <row r="31" spans="1:29">
      <c r="A31" s="20" t="str">
        <f t="shared" si="34"/>
        <v>VOLLEY RADZIEJOWICE 7</v>
      </c>
      <c r="B31" s="20" t="str">
        <f>A10</f>
        <v>OLIMP TŁUSZCZ 1</v>
      </c>
      <c r="C31" s="12">
        <v>4</v>
      </c>
      <c r="D31" s="12" t="s">
        <v>31</v>
      </c>
      <c r="E31" s="12">
        <v>11</v>
      </c>
    </row>
    <row r="32" spans="1:29">
      <c r="A32" s="20" t="str">
        <f>A13</f>
        <v>UKS LESZNOWOLA 4</v>
      </c>
      <c r="B32" s="20" t="str">
        <f>A10</f>
        <v>OLIMP TŁUSZCZ 1</v>
      </c>
      <c r="C32" s="12">
        <v>11</v>
      </c>
      <c r="D32" s="12" t="s">
        <v>31</v>
      </c>
      <c r="E32" s="12">
        <v>10</v>
      </c>
    </row>
    <row r="33" spans="1:5">
      <c r="A33" s="20" t="str">
        <f>A12</f>
        <v>VOLLEY RADZIEJOWICE 8</v>
      </c>
      <c r="B33" s="20" t="str">
        <f>A8</f>
        <v>ISKRA WARSZAWA 5</v>
      </c>
      <c r="C33" s="12">
        <v>3</v>
      </c>
      <c r="D33" s="12" t="s">
        <v>31</v>
      </c>
      <c r="E33" s="12">
        <v>11</v>
      </c>
    </row>
    <row r="34" spans="1:5">
      <c r="A34" s="20" t="str">
        <f>A11</f>
        <v>UKS LESZNOWOLA 5</v>
      </c>
      <c r="B34" s="20" t="str">
        <f>A9</f>
        <v>VOLLEY RADZIEJOWICE 7</v>
      </c>
      <c r="C34" s="12">
        <v>7</v>
      </c>
      <c r="D34" s="12" t="s">
        <v>31</v>
      </c>
      <c r="E34" s="12">
        <v>11</v>
      </c>
    </row>
    <row r="35" spans="1:5">
      <c r="A35" s="20" t="str">
        <f t="shared" ref="A35:A41" si="35">A4</f>
        <v>KPS PŁOCK 1</v>
      </c>
      <c r="B35" s="20" t="str">
        <f>A7</f>
        <v>PERŁA ZŁOTOKŁOS 1</v>
      </c>
      <c r="C35" s="12">
        <v>11</v>
      </c>
      <c r="D35" s="12" t="s">
        <v>31</v>
      </c>
      <c r="E35" s="12">
        <v>10</v>
      </c>
    </row>
    <row r="36" spans="1:5">
      <c r="A36" s="20" t="str">
        <f t="shared" si="35"/>
        <v>SASKA WARSZAWA 1</v>
      </c>
      <c r="B36" s="20" t="str">
        <f>A6</f>
        <v>RCS RADOM 3</v>
      </c>
      <c r="C36" s="12">
        <v>7</v>
      </c>
      <c r="D36" s="12" t="s">
        <v>31</v>
      </c>
      <c r="E36" s="12">
        <v>11</v>
      </c>
    </row>
    <row r="37" spans="1:5">
      <c r="A37" s="20" t="str">
        <f t="shared" si="35"/>
        <v>RCS RADOM 3</v>
      </c>
      <c r="B37" s="20" t="str">
        <f>A13</f>
        <v>UKS LESZNOWOLA 4</v>
      </c>
      <c r="C37" s="12">
        <v>11</v>
      </c>
      <c r="D37" s="12" t="s">
        <v>31</v>
      </c>
      <c r="E37" s="12">
        <v>10</v>
      </c>
    </row>
    <row r="38" spans="1:5">
      <c r="A38" s="20" t="str">
        <f t="shared" si="35"/>
        <v>PERŁA ZŁOTOKŁOS 1</v>
      </c>
      <c r="B38" s="20" t="str">
        <f>A5</f>
        <v>SASKA WARSZAWA 1</v>
      </c>
      <c r="C38" s="12">
        <v>11</v>
      </c>
      <c r="D38" s="12" t="s">
        <v>31</v>
      </c>
      <c r="E38" s="12">
        <v>9</v>
      </c>
    </row>
    <row r="39" spans="1:5">
      <c r="A39" s="20" t="str">
        <f t="shared" si="35"/>
        <v>ISKRA WARSZAWA 5</v>
      </c>
      <c r="B39" s="20" t="str">
        <f>A4</f>
        <v>KPS PŁOCK 1</v>
      </c>
      <c r="C39" s="12">
        <v>11</v>
      </c>
      <c r="D39" s="12" t="s">
        <v>31</v>
      </c>
      <c r="E39" s="12">
        <v>9</v>
      </c>
    </row>
    <row r="40" spans="1:5">
      <c r="A40" s="20" t="str">
        <f t="shared" si="35"/>
        <v>VOLLEY RADZIEJOWICE 7</v>
      </c>
      <c r="B40" s="20" t="str">
        <f>A12</f>
        <v>VOLLEY RADZIEJOWICE 8</v>
      </c>
      <c r="C40" s="12">
        <v>8</v>
      </c>
      <c r="D40" s="12" t="s">
        <v>31</v>
      </c>
      <c r="E40" s="12">
        <v>11</v>
      </c>
    </row>
    <row r="41" spans="1:5">
      <c r="A41" s="20" t="str">
        <f t="shared" si="35"/>
        <v>OLIMP TŁUSZCZ 1</v>
      </c>
      <c r="B41" s="20" t="str">
        <f>A11</f>
        <v>UKS LESZNOWOLA 5</v>
      </c>
      <c r="C41" s="12">
        <v>8</v>
      </c>
      <c r="D41" s="12" t="s">
        <v>31</v>
      </c>
      <c r="E41" s="12">
        <v>11</v>
      </c>
    </row>
    <row r="42" spans="1:5">
      <c r="A42" s="20" t="str">
        <f>A13</f>
        <v>UKS LESZNOWOLA 4</v>
      </c>
      <c r="B42" s="20" t="str">
        <f>A11</f>
        <v>UKS LESZNOWOLA 5</v>
      </c>
      <c r="C42" s="12">
        <v>5</v>
      </c>
      <c r="D42" s="12" t="s">
        <v>31</v>
      </c>
      <c r="E42" s="12">
        <v>11</v>
      </c>
    </row>
    <row r="43" spans="1:5">
      <c r="A43" s="20" t="str">
        <f>A12</f>
        <v>VOLLEY RADZIEJOWICE 8</v>
      </c>
      <c r="B43" s="20" t="str">
        <f>A10</f>
        <v>OLIMP TŁUSZCZ 1</v>
      </c>
      <c r="C43" s="12">
        <v>5</v>
      </c>
      <c r="D43" s="12" t="s">
        <v>31</v>
      </c>
      <c r="E43" s="12">
        <v>11</v>
      </c>
    </row>
    <row r="44" spans="1:5">
      <c r="A44" s="20" t="str">
        <f t="shared" ref="A44:A51" si="36">A4</f>
        <v>KPS PŁOCK 1</v>
      </c>
      <c r="B44" s="20" t="str">
        <f>A9</f>
        <v>VOLLEY RADZIEJOWICE 7</v>
      </c>
      <c r="C44" s="12">
        <v>10</v>
      </c>
      <c r="D44" s="12" t="s">
        <v>31</v>
      </c>
      <c r="E44" s="12">
        <v>11</v>
      </c>
    </row>
    <row r="45" spans="1:5">
      <c r="A45" s="20" t="str">
        <f t="shared" si="36"/>
        <v>SASKA WARSZAWA 1</v>
      </c>
      <c r="B45" s="20" t="str">
        <f>A8</f>
        <v>ISKRA WARSZAWA 5</v>
      </c>
      <c r="C45" s="12">
        <v>11</v>
      </c>
      <c r="D45" s="12" t="s">
        <v>31</v>
      </c>
      <c r="E45" s="12">
        <v>9</v>
      </c>
    </row>
    <row r="46" spans="1:5">
      <c r="A46" s="20" t="str">
        <f t="shared" si="36"/>
        <v>RCS RADOM 3</v>
      </c>
      <c r="B46" s="20" t="str">
        <f>A7</f>
        <v>PERŁA ZŁOTOKŁOS 1</v>
      </c>
      <c r="C46" s="12">
        <v>11</v>
      </c>
      <c r="D46" s="12" t="s">
        <v>31</v>
      </c>
      <c r="E46" s="12">
        <v>6</v>
      </c>
    </row>
    <row r="47" spans="1:5">
      <c r="A47" s="20" t="str">
        <f t="shared" si="36"/>
        <v>PERŁA ZŁOTOKŁOS 1</v>
      </c>
      <c r="B47" s="20" t="str">
        <f>A13</f>
        <v>UKS LESZNOWOLA 4</v>
      </c>
      <c r="C47" s="12">
        <v>8</v>
      </c>
      <c r="D47" s="12" t="s">
        <v>31</v>
      </c>
      <c r="E47" s="12">
        <v>11</v>
      </c>
    </row>
    <row r="48" spans="1:5">
      <c r="A48" s="20" t="str">
        <f t="shared" si="36"/>
        <v>ISKRA WARSZAWA 5</v>
      </c>
      <c r="B48" s="20" t="str">
        <f>A6</f>
        <v>RCS RADOM 3</v>
      </c>
      <c r="C48" s="12">
        <v>8</v>
      </c>
      <c r="D48" s="12" t="s">
        <v>31</v>
      </c>
      <c r="E48" s="12">
        <v>11</v>
      </c>
    </row>
    <row r="49" spans="1:5">
      <c r="A49" s="20" t="str">
        <f t="shared" si="36"/>
        <v>VOLLEY RADZIEJOWICE 7</v>
      </c>
      <c r="B49" s="20" t="str">
        <f>A5</f>
        <v>SASKA WARSZAWA 1</v>
      </c>
      <c r="C49" s="12">
        <v>11</v>
      </c>
      <c r="D49" s="12" t="s">
        <v>31</v>
      </c>
      <c r="E49" s="12">
        <v>9</v>
      </c>
    </row>
    <row r="50" spans="1:5">
      <c r="A50" s="20" t="str">
        <f t="shared" si="36"/>
        <v>OLIMP TŁUSZCZ 1</v>
      </c>
      <c r="B50" s="20" t="str">
        <f>A4</f>
        <v>KPS PŁOCK 1</v>
      </c>
      <c r="C50" s="12">
        <v>11</v>
      </c>
      <c r="D50" s="12" t="s">
        <v>31</v>
      </c>
      <c r="E50" s="12">
        <v>5</v>
      </c>
    </row>
    <row r="51" spans="1:5">
      <c r="A51" s="20" t="str">
        <f t="shared" si="36"/>
        <v>UKS LESZNOWOLA 5</v>
      </c>
      <c r="B51" s="20" t="str">
        <f>A12</f>
        <v>VOLLEY RADZIEJOWICE 8</v>
      </c>
      <c r="C51" s="12">
        <v>11</v>
      </c>
      <c r="D51" s="12" t="s">
        <v>31</v>
      </c>
      <c r="E51" s="12">
        <v>5</v>
      </c>
    </row>
    <row r="52" spans="1:5">
      <c r="A52" s="20" t="str">
        <f>A13</f>
        <v>UKS LESZNOWOLA 4</v>
      </c>
      <c r="B52" s="20" t="str">
        <f>A12</f>
        <v>VOLLEY RADZIEJOWICE 8</v>
      </c>
      <c r="C52" s="12">
        <v>9</v>
      </c>
      <c r="D52" s="12" t="s">
        <v>31</v>
      </c>
      <c r="E52" s="12">
        <v>11</v>
      </c>
    </row>
    <row r="53" spans="1:5">
      <c r="A53" s="20" t="str">
        <f t="shared" ref="A53:A61" si="37">A4</f>
        <v>KPS PŁOCK 1</v>
      </c>
      <c r="B53" s="20" t="str">
        <f>A11</f>
        <v>UKS LESZNOWOLA 5</v>
      </c>
      <c r="C53" s="12">
        <v>9</v>
      </c>
      <c r="D53" s="12" t="s">
        <v>31</v>
      </c>
      <c r="E53" s="12">
        <v>11</v>
      </c>
    </row>
    <row r="54" spans="1:5">
      <c r="A54" s="20" t="str">
        <f t="shared" si="37"/>
        <v>SASKA WARSZAWA 1</v>
      </c>
      <c r="B54" s="20" t="str">
        <f>A10</f>
        <v>OLIMP TŁUSZCZ 1</v>
      </c>
      <c r="C54" s="12">
        <v>6</v>
      </c>
      <c r="D54" s="12" t="s">
        <v>31</v>
      </c>
      <c r="E54" s="12">
        <v>11</v>
      </c>
    </row>
    <row r="55" spans="1:5">
      <c r="A55" s="20" t="str">
        <f t="shared" si="37"/>
        <v>RCS RADOM 3</v>
      </c>
      <c r="B55" s="20" t="str">
        <f>A9</f>
        <v>VOLLEY RADZIEJOWICE 7</v>
      </c>
      <c r="C55" s="12">
        <v>11</v>
      </c>
      <c r="D55" s="12" t="s">
        <v>31</v>
      </c>
      <c r="E55" s="12">
        <v>10</v>
      </c>
    </row>
    <row r="56" spans="1:5">
      <c r="A56" s="20" t="str">
        <f t="shared" si="37"/>
        <v>PERŁA ZŁOTOKŁOS 1</v>
      </c>
      <c r="B56" s="20" t="str">
        <f>A8</f>
        <v>ISKRA WARSZAWA 5</v>
      </c>
      <c r="C56" s="12">
        <v>8</v>
      </c>
      <c r="D56" s="12" t="s">
        <v>31</v>
      </c>
      <c r="E56" s="12">
        <v>11</v>
      </c>
    </row>
    <row r="57" spans="1:5">
      <c r="A57" s="20" t="str">
        <f t="shared" si="37"/>
        <v>ISKRA WARSZAWA 5</v>
      </c>
      <c r="B57" s="20" t="str">
        <f>A13</f>
        <v>UKS LESZNOWOLA 4</v>
      </c>
      <c r="C57" s="12">
        <v>8</v>
      </c>
      <c r="D57" s="12" t="s">
        <v>31</v>
      </c>
      <c r="E57" s="12">
        <v>11</v>
      </c>
    </row>
    <row r="58" spans="1:5">
      <c r="A58" s="20" t="str">
        <f t="shared" si="37"/>
        <v>VOLLEY RADZIEJOWICE 7</v>
      </c>
      <c r="B58" s="20" t="str">
        <f>A7</f>
        <v>PERŁA ZŁOTOKŁOS 1</v>
      </c>
      <c r="C58" s="12">
        <v>11</v>
      </c>
      <c r="D58" s="12" t="s">
        <v>31</v>
      </c>
      <c r="E58" s="12">
        <v>3</v>
      </c>
    </row>
    <row r="59" spans="1:5">
      <c r="A59" s="20" t="str">
        <f t="shared" si="37"/>
        <v>OLIMP TŁUSZCZ 1</v>
      </c>
      <c r="B59" s="20" t="str">
        <f>A6</f>
        <v>RCS RADOM 3</v>
      </c>
      <c r="C59" s="12">
        <v>6</v>
      </c>
      <c r="D59" s="12" t="s">
        <v>31</v>
      </c>
      <c r="E59" s="12">
        <v>11</v>
      </c>
    </row>
    <row r="60" spans="1:5">
      <c r="A60" s="20" t="str">
        <f t="shared" si="37"/>
        <v>UKS LESZNOWOLA 5</v>
      </c>
      <c r="B60" s="20" t="str">
        <f>A5</f>
        <v>SASKA WARSZAWA 1</v>
      </c>
      <c r="C60" s="12">
        <v>3</v>
      </c>
      <c r="D60" s="12" t="s">
        <v>31</v>
      </c>
      <c r="E60" s="12">
        <v>11</v>
      </c>
    </row>
    <row r="61" spans="1:5">
      <c r="A61" s="20" t="str">
        <f t="shared" si="37"/>
        <v>VOLLEY RADZIEJOWICE 8</v>
      </c>
      <c r="B61" s="20" t="str">
        <f>A4</f>
        <v>KPS PŁOCK 1</v>
      </c>
      <c r="C61" s="12">
        <v>4</v>
      </c>
      <c r="D61" s="12" t="s">
        <v>31</v>
      </c>
      <c r="E61" s="12">
        <v>11</v>
      </c>
    </row>
  </sheetData>
  <autoFilter ref="A16:B6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2067-6064-4CCD-88CB-CEFF993BBCA3}">
  <sheetPr>
    <pageSetUpPr fitToPage="1"/>
  </sheetPr>
  <dimension ref="A1:AC76"/>
  <sheetViews>
    <sheetView workbookViewId="0">
      <selection activeCell="H59" sqref="H59"/>
    </sheetView>
  </sheetViews>
  <sheetFormatPr defaultColWidth="8.85546875" defaultRowHeight="15"/>
  <cols>
    <col min="1" max="2" width="23.7109375" style="26" bestFit="1" customWidth="1"/>
    <col min="3" max="5" width="3.85546875" style="26" customWidth="1"/>
    <col min="6" max="6" width="8.28515625" style="26" customWidth="1"/>
    <col min="7" max="7" width="8.28515625" style="27" customWidth="1"/>
    <col min="8" max="8" width="15.7109375" style="27" customWidth="1"/>
    <col min="9" max="9" width="11.7109375" style="27" customWidth="1"/>
    <col min="10" max="16" width="11.7109375" style="26" customWidth="1"/>
    <col min="17" max="17" width="11.42578125" style="26" customWidth="1"/>
    <col min="18" max="18" width="8.85546875" style="26" customWidth="1"/>
    <col min="19" max="19" width="10.42578125" style="26" bestFit="1" customWidth="1"/>
    <col min="20" max="26" width="9.140625" style="26" customWidth="1"/>
    <col min="27" max="27" width="7" style="26" customWidth="1"/>
    <col min="28" max="28" width="9.140625" style="26" customWidth="1"/>
    <col min="29" max="29" width="8.85546875" style="26" customWidth="1"/>
    <col min="30" max="16384" width="8.85546875" style="26"/>
  </cols>
  <sheetData>
    <row r="1" spans="1:29" ht="28.5">
      <c r="A1" s="25" t="s">
        <v>66</v>
      </c>
      <c r="S1" s="26" t="s">
        <v>1</v>
      </c>
      <c r="T1" s="26" t="b">
        <f>ROWS(homescore)-COUNT(homescore)=0</f>
        <v>0</v>
      </c>
    </row>
    <row r="2" spans="1:29">
      <c r="H2" s="28" t="s">
        <v>2</v>
      </c>
      <c r="I2" s="29" t="s">
        <v>3</v>
      </c>
      <c r="J2" s="29" t="s">
        <v>4</v>
      </c>
      <c r="K2" s="29" t="s">
        <v>5</v>
      </c>
      <c r="L2" s="29" t="s">
        <v>6</v>
      </c>
      <c r="M2" s="29" t="s">
        <v>7</v>
      </c>
      <c r="N2" s="29" t="s">
        <v>8</v>
      </c>
      <c r="O2" s="30" t="s">
        <v>9</v>
      </c>
      <c r="P2" s="30" t="s">
        <v>10</v>
      </c>
      <c r="T2" s="31" t="s">
        <v>3</v>
      </c>
      <c r="U2" s="32" t="s">
        <v>11</v>
      </c>
      <c r="V2" s="32" t="s">
        <v>12</v>
      </c>
      <c r="W2" s="33" t="s">
        <v>13</v>
      </c>
      <c r="X2" s="28" t="s">
        <v>14</v>
      </c>
      <c r="Y2" s="32" t="s">
        <v>15</v>
      </c>
      <c r="Z2" s="34" t="s">
        <v>16</v>
      </c>
      <c r="AA2" s="33" t="s">
        <v>12</v>
      </c>
      <c r="AB2" s="33" t="s">
        <v>17</v>
      </c>
      <c r="AC2" s="26" t="s">
        <v>18</v>
      </c>
    </row>
    <row r="3" spans="1:29">
      <c r="A3" s="35" t="s">
        <v>2</v>
      </c>
      <c r="B3" s="36"/>
      <c r="H3" s="37" t="str">
        <f>_xlfn.XLOOKUP(1,$AC$3:$AC$13,$S$3:$S$13)</f>
        <v>G-8 BIELANY 3</v>
      </c>
      <c r="I3" s="37">
        <f t="shared" ref="I3:I13" si="0">VLOOKUP($H3,$S$3:$AA$13,2,0)</f>
        <v>10</v>
      </c>
      <c r="J3" s="37">
        <f t="shared" ref="J3:J13" si="1">VLOOKUP($H3,$S$3:$AA$13,3,0)</f>
        <v>8</v>
      </c>
      <c r="K3" s="37">
        <f t="shared" ref="K3:K13" si="2">VLOOKUP($H3,$S$3:$AA$13,4,0)</f>
        <v>2</v>
      </c>
      <c r="L3" s="37">
        <f t="shared" ref="L3:L13" si="3">VLOOKUP($H3,$S$3:$AA$13,5,0)</f>
        <v>104</v>
      </c>
      <c r="M3" s="37">
        <f t="shared" ref="M3:M13" si="4">VLOOKUP($H3,$S$3:$AA$13,6,0)</f>
        <v>70</v>
      </c>
      <c r="N3" s="37">
        <f t="shared" ref="N3:N13" si="5">VLOOKUP($H3,$S$3:$AA$13,7,0)</f>
        <v>34</v>
      </c>
      <c r="O3" s="38">
        <f>IF(Tabela13[[#This Row],[STRACONE]]=0,0,Tabela13[[#This Row],[ZDOBYTE]]/Tabela13[[#This Row],[STRACONE]])</f>
        <v>1.4857142857142858</v>
      </c>
      <c r="P3" s="39">
        <f t="shared" ref="P3:P13" si="6">VLOOKUP($H3,$S$3:$AB$13,9,0)</f>
        <v>16</v>
      </c>
      <c r="S3" s="40" t="str">
        <f t="shared" ref="S3:S10" si="7">A4</f>
        <v>LEGIA WARSZAWA 1</v>
      </c>
      <c r="T3" s="41">
        <f t="array" ref="T3">SUM((home=S3)*(ISNUMBER(homescore)),(visitor=S3)*(ISNUMBER(visitorscore)))</f>
        <v>10</v>
      </c>
      <c r="U3" s="27">
        <f t="array" ref="U3">SUM((home=S3)*(homescore&gt;visitorscore),(visitor=S3)*(visitorscore&gt;homescore))</f>
        <v>2</v>
      </c>
      <c r="V3" s="27">
        <f t="array" ref="V3">SUM((home=S3)*(homescore&lt;visitorscore),(visitor=S3)*(visitorscore&lt;homescore))</f>
        <v>8</v>
      </c>
      <c r="W3" s="42">
        <f t="shared" ref="W3" si="8">SUMIF(home,S3,homescore)+SUMIF(visitor,S3,visitorscore)</f>
        <v>26</v>
      </c>
      <c r="X3" s="43">
        <f t="shared" ref="X3" si="9">SUMIF(home,S3,visitorscore)+SUMIF(visitor,S3,homescore)</f>
        <v>105</v>
      </c>
      <c r="Y3" s="27">
        <f>W3-X3</f>
        <v>-79</v>
      </c>
      <c r="Z3" s="44">
        <f>IF(X3&gt;0,W3/X3,0)</f>
        <v>0.24761904761904763</v>
      </c>
      <c r="AA3" s="42">
        <f>2*U3</f>
        <v>4</v>
      </c>
      <c r="AB3" s="45">
        <f>W3+Z3*1000+Y3*10000+AA3*100000000</f>
        <v>399210273.61904764</v>
      </c>
      <c r="AC3" s="26">
        <f>RANK(AB3,$AB$3:$AB$13)</f>
        <v>11</v>
      </c>
    </row>
    <row r="4" spans="1:29">
      <c r="A4" s="46" t="s">
        <v>67</v>
      </c>
      <c r="H4" s="37" t="str">
        <f>_xlfn.XLOOKUP(2,$AC$3:$AC$13,$S$3:$S$13)</f>
        <v>ORLĘTA RASZYN 2</v>
      </c>
      <c r="I4" s="37">
        <f t="shared" si="0"/>
        <v>10</v>
      </c>
      <c r="J4" s="37">
        <f t="shared" si="1"/>
        <v>7</v>
      </c>
      <c r="K4" s="37">
        <f t="shared" si="2"/>
        <v>3</v>
      </c>
      <c r="L4" s="37">
        <f t="shared" si="3"/>
        <v>97</v>
      </c>
      <c r="M4" s="37">
        <f t="shared" si="4"/>
        <v>76</v>
      </c>
      <c r="N4" s="37">
        <f t="shared" si="5"/>
        <v>21</v>
      </c>
      <c r="O4" s="38">
        <f>IF(Tabela13[[#This Row],[STRACONE]]=0,0,Tabela13[[#This Row],[ZDOBYTE]]/Tabela13[[#This Row],[STRACONE]])</f>
        <v>1.2763157894736843</v>
      </c>
      <c r="P4" s="39">
        <f t="shared" si="6"/>
        <v>14</v>
      </c>
      <c r="S4" s="47" t="str">
        <f t="shared" si="7"/>
        <v>G-8 BIELANY 3</v>
      </c>
      <c r="T4" s="41">
        <f t="array" ref="T4">SUM((home=S4)*(ISNUMBER(homescore)),(visitor=S4)*(ISNUMBER(visitorscore)))</f>
        <v>10</v>
      </c>
      <c r="U4" s="27">
        <f t="array" ref="U4">SUM((home=S4)*(homescore&gt;visitorscore),(visitor=S4)*(visitorscore&gt;homescore))</f>
        <v>8</v>
      </c>
      <c r="V4" s="27">
        <f t="array" ref="V4">SUM((home=S4)*(homescore&lt;visitorscore),(visitor=S4)*(visitorscore&lt;homescore))</f>
        <v>2</v>
      </c>
      <c r="W4" s="42">
        <f t="shared" ref="W4" si="10">SUMIF(home,S4,homescore)+SUMIF(visitor,S4,visitorscore)</f>
        <v>104</v>
      </c>
      <c r="X4" s="43">
        <f t="shared" ref="X4" si="11">SUMIF(home,S4,visitorscore)+SUMIF(visitor,S4,homescore)</f>
        <v>70</v>
      </c>
      <c r="Y4" s="27">
        <f t="shared" ref="Y4:Y11" si="12">W4-X4</f>
        <v>34</v>
      </c>
      <c r="Z4" s="44">
        <f t="shared" ref="Z4:Z11" si="13">IF(X4&gt;0,W4/X4,0)</f>
        <v>1.4857142857142858</v>
      </c>
      <c r="AA4" s="42">
        <f t="shared" ref="AA4:AA11" si="14">2*U4</f>
        <v>16</v>
      </c>
      <c r="AB4" s="45">
        <f t="shared" ref="AB4:AB11" si="15">W4+Z4*1000+Y4*10000+AA4*100000000</f>
        <v>1600341589.7142856</v>
      </c>
      <c r="AC4" s="26">
        <f t="shared" ref="AC4:AC13" si="16">RANK(AB4,$AB$3:$AB$13)</f>
        <v>1</v>
      </c>
    </row>
    <row r="5" spans="1:29">
      <c r="A5" s="46" t="s">
        <v>68</v>
      </c>
      <c r="H5" s="37" t="str">
        <f>_xlfn.XLOOKUP(3,$AC$3:$AC$13,$S$3:$S$13)</f>
        <v>ISKRA WARSZAWA 6</v>
      </c>
      <c r="I5" s="37">
        <f t="shared" si="0"/>
        <v>10</v>
      </c>
      <c r="J5" s="37">
        <f t="shared" si="1"/>
        <v>6</v>
      </c>
      <c r="K5" s="37">
        <f t="shared" si="2"/>
        <v>4</v>
      </c>
      <c r="L5" s="37">
        <f t="shared" si="3"/>
        <v>103</v>
      </c>
      <c r="M5" s="37">
        <f t="shared" si="4"/>
        <v>80</v>
      </c>
      <c r="N5" s="37">
        <f t="shared" si="5"/>
        <v>23</v>
      </c>
      <c r="O5" s="38">
        <f>IF(Tabela13[[#This Row],[STRACONE]]=0,0,Tabela13[[#This Row],[ZDOBYTE]]/Tabela13[[#This Row],[STRACONE]])</f>
        <v>1.2875000000000001</v>
      </c>
      <c r="P5" s="39">
        <f t="shared" si="6"/>
        <v>12</v>
      </c>
      <c r="S5" s="47" t="str">
        <f t="shared" si="7"/>
        <v>RCS RADOM 1</v>
      </c>
      <c r="T5" s="41">
        <f t="array" ref="T5">SUM((home=S5)*(ISNUMBER(homescore)),(visitor=S5)*(ISNUMBER(visitorscore)))</f>
        <v>10</v>
      </c>
      <c r="U5" s="27">
        <f t="array" ref="U5">SUM((home=S5)*(homescore&gt;visitorscore),(visitor=S5)*(visitorscore&gt;homescore))</f>
        <v>5</v>
      </c>
      <c r="V5" s="27">
        <f t="array" ref="V5">SUM((home=S5)*(homescore&lt;visitorscore),(visitor=S5)*(visitorscore&lt;homescore))</f>
        <v>5</v>
      </c>
      <c r="W5" s="42">
        <f t="shared" ref="W5" si="17">SUMIF(home,S5,homescore)+SUMIF(visitor,S5,visitorscore)</f>
        <v>90</v>
      </c>
      <c r="X5" s="43">
        <f t="shared" ref="X5" si="18">SUMIF(home,S5,visitorscore)+SUMIF(visitor,S5,homescore)</f>
        <v>94</v>
      </c>
      <c r="Y5" s="27">
        <f t="shared" si="12"/>
        <v>-4</v>
      </c>
      <c r="Z5" s="44">
        <f t="shared" si="13"/>
        <v>0.95744680851063835</v>
      </c>
      <c r="AA5" s="42">
        <f t="shared" si="14"/>
        <v>10</v>
      </c>
      <c r="AB5" s="45">
        <f t="shared" si="15"/>
        <v>999961047.44680846</v>
      </c>
      <c r="AC5" s="26">
        <f t="shared" si="16"/>
        <v>6</v>
      </c>
    </row>
    <row r="6" spans="1:29">
      <c r="A6" s="46" t="s">
        <v>69</v>
      </c>
      <c r="H6" s="37" t="str">
        <f>_xlfn.XLOOKUP(4,$AC$3:$AC$13,$S$3:$S$13)</f>
        <v>UKS LESZNOWOLA 7</v>
      </c>
      <c r="I6" s="37">
        <f t="shared" si="0"/>
        <v>10</v>
      </c>
      <c r="J6" s="37">
        <f t="shared" si="1"/>
        <v>6</v>
      </c>
      <c r="K6" s="37">
        <f t="shared" si="2"/>
        <v>4</v>
      </c>
      <c r="L6" s="37">
        <f t="shared" si="3"/>
        <v>95</v>
      </c>
      <c r="M6" s="37">
        <f t="shared" si="4"/>
        <v>78</v>
      </c>
      <c r="N6" s="37">
        <f t="shared" si="5"/>
        <v>17</v>
      </c>
      <c r="O6" s="38">
        <f>IF(Tabela13[[#This Row],[STRACONE]]=0,0,Tabela13[[#This Row],[ZDOBYTE]]/Tabela13[[#This Row],[STRACONE]])</f>
        <v>1.2179487179487178</v>
      </c>
      <c r="P6" s="39">
        <f t="shared" si="6"/>
        <v>12</v>
      </c>
      <c r="S6" s="47" t="str">
        <f t="shared" si="7"/>
        <v>ISKRA WARSZAWA 7</v>
      </c>
      <c r="T6" s="41">
        <f t="array" ref="T6">SUM((home=S6)*(ISNUMBER(homescore)),(visitor=S6)*(ISNUMBER(visitorscore)))</f>
        <v>10</v>
      </c>
      <c r="U6" s="27">
        <f t="array" ref="U6">SUM((home=S6)*(homescore&gt;visitorscore),(visitor=S6)*(visitorscore&gt;homescore))</f>
        <v>4</v>
      </c>
      <c r="V6" s="27">
        <f t="array" ref="V6">SUM((home=S6)*(homescore&lt;visitorscore),(visitor=S6)*(visitorscore&lt;homescore))</f>
        <v>6</v>
      </c>
      <c r="W6" s="42">
        <f t="shared" ref="W6" si="19">SUMIF(home,S6,homescore)+SUMIF(visitor,S6,visitorscore)</f>
        <v>93</v>
      </c>
      <c r="X6" s="43">
        <f t="shared" ref="X6" si="20">SUMIF(home,S6,visitorscore)+SUMIF(visitor,S6,homescore)</f>
        <v>90</v>
      </c>
      <c r="Y6" s="27">
        <f t="shared" si="12"/>
        <v>3</v>
      </c>
      <c r="Z6" s="44">
        <f t="shared" si="13"/>
        <v>1.0333333333333334</v>
      </c>
      <c r="AA6" s="42">
        <f t="shared" si="14"/>
        <v>8</v>
      </c>
      <c r="AB6" s="45">
        <f t="shared" si="15"/>
        <v>800031126.33333337</v>
      </c>
      <c r="AC6" s="26">
        <f t="shared" si="16"/>
        <v>7</v>
      </c>
    </row>
    <row r="7" spans="1:29">
      <c r="A7" s="46" t="s">
        <v>70</v>
      </c>
      <c r="H7" s="37" t="str">
        <f>_xlfn.XLOOKUP(5,$AC$3:$AC$13,$S$3:$S$13)</f>
        <v>ORLĘTA RASZYN 5</v>
      </c>
      <c r="I7" s="37">
        <f t="shared" si="0"/>
        <v>10</v>
      </c>
      <c r="J7" s="37">
        <f t="shared" si="1"/>
        <v>5</v>
      </c>
      <c r="K7" s="37">
        <f t="shared" si="2"/>
        <v>5</v>
      </c>
      <c r="L7" s="37">
        <f t="shared" si="3"/>
        <v>90</v>
      </c>
      <c r="M7" s="37">
        <f t="shared" si="4"/>
        <v>87</v>
      </c>
      <c r="N7" s="37">
        <f t="shared" si="5"/>
        <v>3</v>
      </c>
      <c r="O7" s="38">
        <f>IF(Tabela13[[#This Row],[STRACONE]]=0,0,Tabela13[[#This Row],[ZDOBYTE]]/Tabela13[[#This Row],[STRACONE]])</f>
        <v>1.0344827586206897</v>
      </c>
      <c r="P7" s="39">
        <f t="shared" si="6"/>
        <v>10</v>
      </c>
      <c r="S7" s="47" t="str">
        <f t="shared" si="7"/>
        <v>UKS LESZNOWOLA 7</v>
      </c>
      <c r="T7" s="41">
        <f t="array" ref="T7">SUM((home=S7)*(ISNUMBER(homescore)),(visitor=S7)*(ISNUMBER(visitorscore)))</f>
        <v>10</v>
      </c>
      <c r="U7" s="27">
        <f t="array" ref="U7">SUM((home=S7)*(homescore&gt;visitorscore),(visitor=S7)*(visitorscore&gt;homescore))</f>
        <v>6</v>
      </c>
      <c r="V7" s="27">
        <f t="array" ref="V7">SUM((home=S7)*(homescore&lt;visitorscore),(visitor=S7)*(visitorscore&lt;homescore))</f>
        <v>4</v>
      </c>
      <c r="W7" s="42">
        <f t="shared" ref="W7" si="21">SUMIF(home,S7,homescore)+SUMIF(visitor,S7,visitorscore)</f>
        <v>95</v>
      </c>
      <c r="X7" s="43">
        <f t="shared" ref="X7" si="22">SUMIF(home,S7,visitorscore)+SUMIF(visitor,S7,homescore)</f>
        <v>78</v>
      </c>
      <c r="Y7" s="27">
        <f t="shared" si="12"/>
        <v>17</v>
      </c>
      <c r="Z7" s="44">
        <f t="shared" si="13"/>
        <v>1.2179487179487178</v>
      </c>
      <c r="AA7" s="42">
        <f t="shared" si="14"/>
        <v>12</v>
      </c>
      <c r="AB7" s="45">
        <f t="shared" si="15"/>
        <v>1200171312.9487178</v>
      </c>
      <c r="AC7" s="26">
        <f t="shared" si="16"/>
        <v>4</v>
      </c>
    </row>
    <row r="8" spans="1:29">
      <c r="A8" s="46" t="s">
        <v>71</v>
      </c>
      <c r="H8" s="37" t="str">
        <f>_xlfn.XLOOKUP(6,$AC$3:$AC$13,$S$3:$S$13)</f>
        <v>RCS RADOM 1</v>
      </c>
      <c r="I8" s="37">
        <f t="shared" si="0"/>
        <v>10</v>
      </c>
      <c r="J8" s="37">
        <f t="shared" si="1"/>
        <v>5</v>
      </c>
      <c r="K8" s="37">
        <f t="shared" si="2"/>
        <v>5</v>
      </c>
      <c r="L8" s="37">
        <f t="shared" si="3"/>
        <v>90</v>
      </c>
      <c r="M8" s="37">
        <f t="shared" si="4"/>
        <v>94</v>
      </c>
      <c r="N8" s="37">
        <f t="shared" si="5"/>
        <v>-4</v>
      </c>
      <c r="O8" s="38">
        <f>IF(Tabela13[[#This Row],[STRACONE]]=0,0,Tabela13[[#This Row],[ZDOBYTE]]/Tabela13[[#This Row],[STRACONE]])</f>
        <v>0.95744680851063835</v>
      </c>
      <c r="P8" s="39">
        <f t="shared" si="6"/>
        <v>10</v>
      </c>
      <c r="S8" s="47" t="str">
        <f t="shared" si="7"/>
        <v>ORLĘTA RASZYN 6</v>
      </c>
      <c r="T8" s="41">
        <f t="array" ref="T8">SUM((home=S8)*(ISNUMBER(homescore)),(visitor=S8)*(ISNUMBER(visitorscore)))</f>
        <v>10</v>
      </c>
      <c r="U8" s="27">
        <f t="array" ref="U8">SUM((home=S8)*(homescore&gt;visitorscore),(visitor=S8)*(visitorscore&gt;homescore))</f>
        <v>4</v>
      </c>
      <c r="V8" s="27">
        <f t="array" ref="V8">SUM((home=S8)*(homescore&lt;visitorscore),(visitor=S8)*(visitorscore&lt;homescore))</f>
        <v>6</v>
      </c>
      <c r="W8" s="42">
        <f t="shared" ref="W8" si="23">SUMIF(home,S8,homescore)+SUMIF(visitor,S8,visitorscore)</f>
        <v>84</v>
      </c>
      <c r="X8" s="43">
        <f t="shared" ref="X8" si="24">SUMIF(home,S8,visitorscore)+SUMIF(visitor,S8,homescore)</f>
        <v>92</v>
      </c>
      <c r="Y8" s="27">
        <f t="shared" si="12"/>
        <v>-8</v>
      </c>
      <c r="Z8" s="44">
        <f t="shared" si="13"/>
        <v>0.91304347826086951</v>
      </c>
      <c r="AA8" s="42">
        <f t="shared" si="14"/>
        <v>8</v>
      </c>
      <c r="AB8" s="45">
        <f t="shared" si="15"/>
        <v>799920997.04347825</v>
      </c>
      <c r="AC8" s="26">
        <f t="shared" si="16"/>
        <v>9</v>
      </c>
    </row>
    <row r="9" spans="1:29">
      <c r="A9" s="46" t="s">
        <v>72</v>
      </c>
      <c r="H9" s="37" t="str">
        <f>_xlfn.XLOOKUP(7,$AC$3:$AC$13,$S$3:$S$13)</f>
        <v>ISKRA WARSZAWA 7</v>
      </c>
      <c r="I9" s="37">
        <f t="shared" si="0"/>
        <v>10</v>
      </c>
      <c r="J9" s="37">
        <f t="shared" si="1"/>
        <v>4</v>
      </c>
      <c r="K9" s="37">
        <f t="shared" si="2"/>
        <v>6</v>
      </c>
      <c r="L9" s="37">
        <f t="shared" si="3"/>
        <v>93</v>
      </c>
      <c r="M9" s="37">
        <f t="shared" si="4"/>
        <v>90</v>
      </c>
      <c r="N9" s="37">
        <f t="shared" si="5"/>
        <v>3</v>
      </c>
      <c r="O9" s="38">
        <f>IF(Tabela13[[#This Row],[STRACONE]]=0,0,Tabela13[[#This Row],[ZDOBYTE]]/Tabela13[[#This Row],[STRACONE]])</f>
        <v>1.0333333333333334</v>
      </c>
      <c r="P9" s="39">
        <f t="shared" si="6"/>
        <v>8</v>
      </c>
      <c r="S9" s="47" t="str">
        <f t="shared" si="7"/>
        <v>ORLĘTA RASZYN 2</v>
      </c>
      <c r="T9" s="41">
        <f t="array" ref="T9">SUM((home=S9)*(ISNUMBER(homescore)),(visitor=S9)*(ISNUMBER(visitorscore)))</f>
        <v>10</v>
      </c>
      <c r="U9" s="27">
        <f t="array" ref="U9">SUM((home=S9)*(homescore&gt;visitorscore),(visitor=S9)*(visitorscore&gt;homescore))</f>
        <v>7</v>
      </c>
      <c r="V9" s="27">
        <f t="array" ref="V9">SUM((home=S9)*(homescore&lt;visitorscore),(visitor=S9)*(visitorscore&lt;homescore))</f>
        <v>3</v>
      </c>
      <c r="W9" s="42">
        <f t="shared" ref="W9" si="25">SUMIF(home,S9,homescore)+SUMIF(visitor,S9,visitorscore)</f>
        <v>97</v>
      </c>
      <c r="X9" s="43">
        <f t="shared" ref="X9" si="26">SUMIF(home,S9,visitorscore)+SUMIF(visitor,S9,homescore)</f>
        <v>76</v>
      </c>
      <c r="Y9" s="27">
        <f t="shared" si="12"/>
        <v>21</v>
      </c>
      <c r="Z9" s="44">
        <f t="shared" si="13"/>
        <v>1.2763157894736843</v>
      </c>
      <c r="AA9" s="42">
        <f t="shared" si="14"/>
        <v>14</v>
      </c>
      <c r="AB9" s="45">
        <f t="shared" si="15"/>
        <v>1400211373.3157895</v>
      </c>
      <c r="AC9" s="26">
        <f t="shared" si="16"/>
        <v>2</v>
      </c>
    </row>
    <row r="10" spans="1:29">
      <c r="A10" s="46" t="s">
        <v>73</v>
      </c>
      <c r="H10" s="37" t="str">
        <f>_xlfn.XLOOKUP(8,$AC$3:$AC$13,$S$3:$S$13)</f>
        <v>ISKRA WARSZAWA 9</v>
      </c>
      <c r="I10" s="37">
        <f t="shared" si="0"/>
        <v>10</v>
      </c>
      <c r="J10" s="37">
        <f t="shared" si="1"/>
        <v>4</v>
      </c>
      <c r="K10" s="37">
        <f t="shared" si="2"/>
        <v>6</v>
      </c>
      <c r="L10" s="37">
        <f t="shared" si="3"/>
        <v>87</v>
      </c>
      <c r="M10" s="37">
        <f t="shared" si="4"/>
        <v>89</v>
      </c>
      <c r="N10" s="37">
        <f t="shared" si="5"/>
        <v>-2</v>
      </c>
      <c r="O10" s="38">
        <f>IF(Tabela13[[#This Row],[STRACONE]]=0,0,Tabela13[[#This Row],[ZDOBYTE]]/Tabela13[[#This Row],[STRACONE]])</f>
        <v>0.97752808988764039</v>
      </c>
      <c r="P10" s="39">
        <f t="shared" si="6"/>
        <v>8</v>
      </c>
      <c r="S10" s="47" t="str">
        <f t="shared" si="7"/>
        <v>ISKRA WARSZAWA 9</v>
      </c>
      <c r="T10" s="41">
        <f t="array" ref="T10">SUM((home=S10)*(ISNUMBER(homescore)),(visitor=S10)*(ISNUMBER(visitorscore)))</f>
        <v>10</v>
      </c>
      <c r="U10" s="27">
        <f t="array" ref="U10">SUM((home=S10)*(homescore&gt;visitorscore),(visitor=S10)*(visitorscore&gt;homescore))</f>
        <v>4</v>
      </c>
      <c r="V10" s="27">
        <f t="array" ref="V10">SUM((home=S10)*(homescore&lt;visitorscore),(visitor=S10)*(visitorscore&lt;homescore))</f>
        <v>6</v>
      </c>
      <c r="W10" s="42">
        <f t="shared" ref="W10" si="27">SUMIF(home,S10,homescore)+SUMIF(visitor,S10,visitorscore)</f>
        <v>87</v>
      </c>
      <c r="X10" s="43">
        <f t="shared" ref="X10" si="28">SUMIF(home,S10,visitorscore)+SUMIF(visitor,S10,homescore)</f>
        <v>89</v>
      </c>
      <c r="Y10" s="27">
        <f t="shared" si="12"/>
        <v>-2</v>
      </c>
      <c r="Z10" s="44">
        <f t="shared" si="13"/>
        <v>0.97752808988764039</v>
      </c>
      <c r="AA10" s="42">
        <f t="shared" si="14"/>
        <v>8</v>
      </c>
      <c r="AB10" s="45">
        <f t="shared" si="15"/>
        <v>799981064.52808988</v>
      </c>
      <c r="AC10" s="26">
        <f t="shared" si="16"/>
        <v>8</v>
      </c>
    </row>
    <row r="11" spans="1:29">
      <c r="A11" s="46" t="s">
        <v>74</v>
      </c>
      <c r="H11" s="37" t="str">
        <f>_xlfn.XLOOKUP(9,$AC$3:$AC$13,$S$3:$S$13)</f>
        <v>ORLĘTA RASZYN 6</v>
      </c>
      <c r="I11" s="37">
        <f t="shared" si="0"/>
        <v>10</v>
      </c>
      <c r="J11" s="37">
        <f t="shared" si="1"/>
        <v>4</v>
      </c>
      <c r="K11" s="37">
        <f t="shared" si="2"/>
        <v>6</v>
      </c>
      <c r="L11" s="37">
        <f t="shared" si="3"/>
        <v>84</v>
      </c>
      <c r="M11" s="37">
        <f t="shared" si="4"/>
        <v>92</v>
      </c>
      <c r="N11" s="37">
        <f t="shared" si="5"/>
        <v>-8</v>
      </c>
      <c r="O11" s="38">
        <f>IF(Tabela13[[#This Row],[STRACONE]]=0,0,Tabela13[[#This Row],[ZDOBYTE]]/Tabela13[[#This Row],[STRACONE]])</f>
        <v>0.91304347826086951</v>
      </c>
      <c r="P11" s="39">
        <f t="shared" si="6"/>
        <v>8</v>
      </c>
      <c r="S11" s="47" t="str">
        <f>A12</f>
        <v>VOLLEY RADZIEJOWICE 10</v>
      </c>
      <c r="T11" s="41">
        <f t="array" ref="T11">SUM((home=S11)*(ISNUMBER(homescore)),(visitor=S11)*(ISNUMBER(visitorscore)))</f>
        <v>10</v>
      </c>
      <c r="U11" s="27">
        <f t="array" ref="U11">SUM((home=S11)*(homescore&gt;visitorscore),(visitor=S11)*(visitorscore&gt;homescore))</f>
        <v>4</v>
      </c>
      <c r="V11" s="27">
        <f t="array" ref="V11">SUM((home=S11)*(homescore&lt;visitorscore),(visitor=S11)*(visitorscore&lt;homescore))</f>
        <v>6</v>
      </c>
      <c r="W11" s="42">
        <f t="shared" ref="W11" si="29">SUMIF(home,S11,homescore)+SUMIF(visitor,S11,visitorscore)</f>
        <v>78</v>
      </c>
      <c r="X11" s="43">
        <f t="shared" ref="X11" si="30">SUMIF(home,S11,visitorscore)+SUMIF(visitor,S11,homescore)</f>
        <v>86</v>
      </c>
      <c r="Y11" s="27">
        <f t="shared" si="12"/>
        <v>-8</v>
      </c>
      <c r="Z11" s="44">
        <f t="shared" si="13"/>
        <v>0.90697674418604646</v>
      </c>
      <c r="AA11" s="42">
        <f t="shared" si="14"/>
        <v>8</v>
      </c>
      <c r="AB11" s="45">
        <f t="shared" si="15"/>
        <v>799920984.97674417</v>
      </c>
      <c r="AC11" s="26">
        <f t="shared" si="16"/>
        <v>10</v>
      </c>
    </row>
    <row r="12" spans="1:29">
      <c r="A12" s="46" t="s">
        <v>75</v>
      </c>
      <c r="H12" s="37" t="str">
        <f>_xlfn.XLOOKUP(10,$AC$3:$AC$13,$S$3:$S$13)</f>
        <v>VOLLEY RADZIEJOWICE 10</v>
      </c>
      <c r="I12" s="37">
        <f t="shared" si="0"/>
        <v>10</v>
      </c>
      <c r="J12" s="37">
        <f t="shared" si="1"/>
        <v>4</v>
      </c>
      <c r="K12" s="37">
        <f t="shared" si="2"/>
        <v>6</v>
      </c>
      <c r="L12" s="37">
        <f t="shared" si="3"/>
        <v>78</v>
      </c>
      <c r="M12" s="37">
        <f t="shared" si="4"/>
        <v>86</v>
      </c>
      <c r="N12" s="37">
        <f t="shared" si="5"/>
        <v>-8</v>
      </c>
      <c r="O12" s="38">
        <f>IF(Tabela13[[#This Row],[STRACONE]]=0,0,Tabela13[[#This Row],[ZDOBYTE]]/Tabela13[[#This Row],[STRACONE]])</f>
        <v>0.90697674418604646</v>
      </c>
      <c r="P12" s="39">
        <f t="shared" si="6"/>
        <v>8</v>
      </c>
      <c r="S12" s="48" t="str">
        <f t="shared" ref="S12:S13" si="31">A13</f>
        <v>ORLĘTA RASZYN 5</v>
      </c>
      <c r="T12" s="41">
        <f t="array" ref="T12">SUM((home=S12)*(ISNUMBER(homescore)),(visitor=S12)*(ISNUMBER(visitorscore)))</f>
        <v>10</v>
      </c>
      <c r="U12" s="27">
        <f t="array" ref="U12">SUM((home=S12)*(homescore&gt;visitorscore),(visitor=S12)*(visitorscore&gt;homescore))</f>
        <v>5</v>
      </c>
      <c r="V12" s="27">
        <f t="array" ref="V12">SUM((home=S12)*(homescore&lt;visitorscore),(visitor=S12)*(visitorscore&lt;homescore))</f>
        <v>5</v>
      </c>
      <c r="W12" s="42">
        <f t="shared" ref="W12" si="32">SUMIF(home,S12,homescore)+SUMIF(visitor,S12,visitorscore)</f>
        <v>90</v>
      </c>
      <c r="X12" s="43">
        <f t="shared" ref="X12" si="33">SUMIF(home,S12,visitorscore)+SUMIF(visitor,S12,homescore)</f>
        <v>87</v>
      </c>
      <c r="Y12" s="27">
        <f>W12-X12</f>
        <v>3</v>
      </c>
      <c r="Z12" s="44">
        <f>IF(X12&gt;0,W12/X12,0)</f>
        <v>1.0344827586206897</v>
      </c>
      <c r="AA12" s="42">
        <f>2*U12</f>
        <v>10</v>
      </c>
      <c r="AB12" s="45">
        <f>W12+Z12*1000+Y12*10000+AA12*100000000</f>
        <v>1000031124.4827586</v>
      </c>
      <c r="AC12" s="26">
        <f t="shared" si="16"/>
        <v>5</v>
      </c>
    </row>
    <row r="13" spans="1:29">
      <c r="A13" s="46" t="s">
        <v>76</v>
      </c>
      <c r="H13" s="37" t="str">
        <f>_xlfn.XLOOKUP(11,$AC$3:$AC$13,$S$3:$S$13)</f>
        <v>LEGIA WARSZAWA 1</v>
      </c>
      <c r="I13" s="37">
        <f t="shared" si="0"/>
        <v>10</v>
      </c>
      <c r="J13" s="37">
        <f t="shared" si="1"/>
        <v>2</v>
      </c>
      <c r="K13" s="37">
        <f t="shared" si="2"/>
        <v>8</v>
      </c>
      <c r="L13" s="37">
        <f t="shared" si="3"/>
        <v>26</v>
      </c>
      <c r="M13" s="37">
        <f t="shared" si="4"/>
        <v>105</v>
      </c>
      <c r="N13" s="37">
        <f t="shared" si="5"/>
        <v>-79</v>
      </c>
      <c r="O13" s="38">
        <f>IF(Tabela13[[#This Row],[STRACONE]]=0,0,Tabela13[[#This Row],[ZDOBYTE]]/Tabela13[[#This Row],[STRACONE]])</f>
        <v>0.24761904761904763</v>
      </c>
      <c r="P13" s="39">
        <f t="shared" si="6"/>
        <v>4</v>
      </c>
      <c r="S13" s="48" t="str">
        <f t="shared" si="31"/>
        <v>ISKRA WARSZAWA 6</v>
      </c>
      <c r="T13" s="41">
        <f t="array" ref="T13">SUM((home=S13)*(ISNUMBER(homescore)),(visitor=S13)*(ISNUMBER(visitorscore)))</f>
        <v>10</v>
      </c>
      <c r="U13" s="27">
        <f t="array" ref="U13">SUM((home=S13)*(homescore&gt;visitorscore),(visitor=S13)*(visitorscore&gt;homescore))</f>
        <v>6</v>
      </c>
      <c r="V13" s="27">
        <f t="array" ref="V13">SUM((home=S13)*(homescore&lt;visitorscore),(visitor=S13)*(visitorscore&lt;homescore))</f>
        <v>4</v>
      </c>
      <c r="W13" s="42">
        <f t="shared" ref="W13" si="34">SUMIF(home,S13,homescore)+SUMIF(visitor,S13,visitorscore)</f>
        <v>103</v>
      </c>
      <c r="X13" s="43">
        <f t="shared" ref="X13" si="35">SUMIF(home,S13,visitorscore)+SUMIF(visitor,S13,homescore)</f>
        <v>80</v>
      </c>
      <c r="Y13" s="27">
        <f>W13-X13</f>
        <v>23</v>
      </c>
      <c r="Z13" s="44">
        <f>IF(X13&gt;0,W13/X13,0)</f>
        <v>1.2875000000000001</v>
      </c>
      <c r="AA13" s="42">
        <f>2*U13</f>
        <v>12</v>
      </c>
      <c r="AB13" s="45">
        <f>W13+Z13*1000+Y13*10000+AA13*100000000</f>
        <v>1200231390.5</v>
      </c>
      <c r="AC13" s="26">
        <f t="shared" si="16"/>
        <v>3</v>
      </c>
    </row>
    <row r="14" spans="1:29">
      <c r="A14" s="46" t="s">
        <v>77</v>
      </c>
    </row>
    <row r="16" spans="1:29">
      <c r="H16"/>
      <c r="I16"/>
      <c r="J16"/>
      <c r="K16"/>
      <c r="L16"/>
      <c r="M16"/>
      <c r="N16"/>
      <c r="O16"/>
      <c r="P16"/>
    </row>
    <row r="17" spans="1:29">
      <c r="A17" s="35" t="s">
        <v>29</v>
      </c>
      <c r="B17" s="35" t="s">
        <v>30</v>
      </c>
      <c r="H17"/>
      <c r="I17"/>
      <c r="J17"/>
      <c r="K17"/>
      <c r="L17"/>
      <c r="M17"/>
      <c r="N17"/>
      <c r="O17"/>
      <c r="P17"/>
    </row>
    <row r="18" spans="1:29">
      <c r="A18" s="20" t="str">
        <f>A5</f>
        <v>G-8 BIELANY 3</v>
      </c>
      <c r="B18" s="20" t="str">
        <f>A14</f>
        <v>ISKRA WARSZAWA 6</v>
      </c>
      <c r="C18" s="37">
        <v>8</v>
      </c>
      <c r="D18" s="37" t="s">
        <v>31</v>
      </c>
      <c r="E18" s="37">
        <v>11</v>
      </c>
      <c r="H18"/>
      <c r="I18"/>
      <c r="J18"/>
      <c r="K18"/>
      <c r="L18"/>
      <c r="M18"/>
      <c r="N18"/>
      <c r="O18"/>
      <c r="P18"/>
    </row>
    <row r="19" spans="1:29">
      <c r="A19" s="20" t="str">
        <f>A6</f>
        <v>RCS RADOM 1</v>
      </c>
      <c r="B19" s="20" t="str">
        <f>A13</f>
        <v>ORLĘTA RASZYN 5</v>
      </c>
      <c r="C19" s="37">
        <v>11</v>
      </c>
      <c r="D19" s="37" t="s">
        <v>31</v>
      </c>
      <c r="E19" s="37">
        <v>5</v>
      </c>
      <c r="H19"/>
      <c r="I19"/>
      <c r="J19"/>
      <c r="K19"/>
      <c r="L19"/>
      <c r="M19"/>
      <c r="N19"/>
      <c r="O19"/>
      <c r="P19"/>
    </row>
    <row r="20" spans="1:29">
      <c r="A20" s="20" t="str">
        <f>A7</f>
        <v>ISKRA WARSZAWA 7</v>
      </c>
      <c r="B20" s="20" t="str">
        <f>A12</f>
        <v>VOLLEY RADZIEJOWICE 10</v>
      </c>
      <c r="C20" s="37">
        <v>11</v>
      </c>
      <c r="D20" s="37" t="s">
        <v>31</v>
      </c>
      <c r="E20" s="37">
        <v>8</v>
      </c>
      <c r="F20" s="27"/>
      <c r="H20"/>
      <c r="I20"/>
      <c r="J20"/>
      <c r="K20"/>
      <c r="L20"/>
      <c r="M20"/>
      <c r="N20"/>
      <c r="O20"/>
      <c r="P20"/>
    </row>
    <row r="21" spans="1:29">
      <c r="A21" s="20" t="str">
        <f>A8</f>
        <v>UKS LESZNOWOLA 7</v>
      </c>
      <c r="B21" s="20" t="str">
        <f>A11</f>
        <v>ISKRA WARSZAWA 9</v>
      </c>
      <c r="C21" s="37">
        <v>11</v>
      </c>
      <c r="D21" s="37" t="s">
        <v>31</v>
      </c>
      <c r="E21" s="37">
        <v>4</v>
      </c>
      <c r="F21" s="27"/>
      <c r="H21"/>
      <c r="I21"/>
      <c r="J21"/>
      <c r="K21"/>
      <c r="L21"/>
      <c r="M21"/>
      <c r="N21"/>
      <c r="O21"/>
      <c r="P21"/>
    </row>
    <row r="22" spans="1:29">
      <c r="A22" s="20" t="str">
        <f>A9</f>
        <v>ORLĘTA RASZYN 6</v>
      </c>
      <c r="B22" s="20" t="str">
        <f>A10</f>
        <v>ORLĘTA RASZYN 2</v>
      </c>
      <c r="C22" s="37">
        <v>7</v>
      </c>
      <c r="D22" s="37" t="s">
        <v>31</v>
      </c>
      <c r="E22" s="37">
        <v>11</v>
      </c>
      <c r="F22" s="27"/>
      <c r="H22"/>
      <c r="I22"/>
      <c r="J22"/>
      <c r="K22"/>
      <c r="L22"/>
      <c r="M22"/>
      <c r="N22"/>
      <c r="O22"/>
      <c r="P22"/>
    </row>
    <row r="23" spans="1:29">
      <c r="A23" s="20" t="str">
        <f>A11</f>
        <v>ISKRA WARSZAWA 9</v>
      </c>
      <c r="B23" s="20" t="str">
        <f>A9</f>
        <v>ORLĘTA RASZYN 6</v>
      </c>
      <c r="C23" s="37">
        <v>11</v>
      </c>
      <c r="D23" s="37" t="s">
        <v>31</v>
      </c>
      <c r="E23" s="37">
        <v>5</v>
      </c>
      <c r="F23" s="27"/>
      <c r="H23"/>
      <c r="I23"/>
      <c r="J23"/>
      <c r="K23"/>
      <c r="L23"/>
      <c r="M23"/>
      <c r="N23"/>
      <c r="O23"/>
      <c r="P23"/>
    </row>
    <row r="24" spans="1:29">
      <c r="A24" s="20" t="str">
        <f>A12</f>
        <v>VOLLEY RADZIEJOWICE 10</v>
      </c>
      <c r="B24" s="20" t="str">
        <f>A8</f>
        <v>UKS LESZNOWOLA 7</v>
      </c>
      <c r="C24" s="37">
        <v>6</v>
      </c>
      <c r="D24" s="37" t="s">
        <v>31</v>
      </c>
      <c r="E24" s="37">
        <v>11</v>
      </c>
      <c r="F24" s="27"/>
      <c r="H24"/>
      <c r="I24"/>
      <c r="J24"/>
      <c r="K24"/>
      <c r="L24"/>
      <c r="M24"/>
      <c r="N24"/>
      <c r="O24"/>
      <c r="P24"/>
    </row>
    <row r="25" spans="1:29">
      <c r="A25" s="20" t="str">
        <f>A13</f>
        <v>ORLĘTA RASZYN 5</v>
      </c>
      <c r="B25" s="20" t="str">
        <f>A7</f>
        <v>ISKRA WARSZAWA 7</v>
      </c>
      <c r="C25" s="37">
        <v>11</v>
      </c>
      <c r="D25" s="37" t="s">
        <v>31</v>
      </c>
      <c r="E25" s="37">
        <v>7</v>
      </c>
      <c r="F25" s="27" t="s">
        <v>32</v>
      </c>
      <c r="H25"/>
      <c r="I25"/>
      <c r="J25"/>
      <c r="K25"/>
      <c r="L25"/>
      <c r="M25"/>
      <c r="N25"/>
      <c r="O25"/>
      <c r="P25"/>
    </row>
    <row r="26" spans="1:29" s="27" customFormat="1">
      <c r="A26" s="20" t="str">
        <f>A14</f>
        <v>ISKRA WARSZAWA 6</v>
      </c>
      <c r="B26" s="20" t="str">
        <f>A6</f>
        <v>RCS RADOM 1</v>
      </c>
      <c r="C26" s="37">
        <v>11</v>
      </c>
      <c r="D26" s="37" t="s">
        <v>31</v>
      </c>
      <c r="E26" s="37">
        <v>4</v>
      </c>
      <c r="H26"/>
      <c r="I26"/>
      <c r="J26"/>
      <c r="K26"/>
      <c r="L26"/>
      <c r="M26"/>
      <c r="N26"/>
      <c r="O26"/>
      <c r="P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s="27" customFormat="1">
      <c r="A27" s="20" t="str">
        <f>A4</f>
        <v>LEGIA WARSZAWA 1</v>
      </c>
      <c r="B27" s="20" t="str">
        <f>A5</f>
        <v>G-8 BIELANY 3</v>
      </c>
      <c r="C27" s="37">
        <v>11</v>
      </c>
      <c r="D27" s="37" t="s">
        <v>31</v>
      </c>
      <c r="E27" s="37">
        <v>8</v>
      </c>
      <c r="F27" s="26"/>
      <c r="H27"/>
      <c r="I27"/>
      <c r="J27"/>
      <c r="K27"/>
      <c r="L27"/>
      <c r="M27"/>
      <c r="N27"/>
      <c r="O27"/>
      <c r="P2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s="27" customFormat="1">
      <c r="A28" s="20" t="str">
        <f>A6</f>
        <v>RCS RADOM 1</v>
      </c>
      <c r="B28" s="20" t="str">
        <f>A4</f>
        <v>LEGIA WARSZAWA 1</v>
      </c>
      <c r="C28" s="37">
        <v>9</v>
      </c>
      <c r="D28" s="37" t="s">
        <v>31</v>
      </c>
      <c r="E28" s="37">
        <v>11</v>
      </c>
      <c r="F28" s="26"/>
      <c r="H28"/>
      <c r="I28"/>
      <c r="J28"/>
      <c r="K28"/>
      <c r="L28"/>
      <c r="M28"/>
      <c r="N28"/>
      <c r="O28"/>
      <c r="P28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s="27" customFormat="1">
      <c r="A29" s="20" t="str">
        <f>A7</f>
        <v>ISKRA WARSZAWA 7</v>
      </c>
      <c r="B29" s="20" t="str">
        <f>A14</f>
        <v>ISKRA WARSZAWA 6</v>
      </c>
      <c r="C29" s="37">
        <v>9</v>
      </c>
      <c r="D29" s="37" t="s">
        <v>31</v>
      </c>
      <c r="E29" s="37">
        <v>11</v>
      </c>
      <c r="F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s="27" customFormat="1">
      <c r="A30" s="20" t="str">
        <f>A8</f>
        <v>UKS LESZNOWOLA 7</v>
      </c>
      <c r="B30" s="20" t="str">
        <f>A13</f>
        <v>ORLĘTA RASZYN 5</v>
      </c>
      <c r="C30" s="37">
        <v>8</v>
      </c>
      <c r="D30" s="37" t="s">
        <v>31</v>
      </c>
      <c r="E30" s="37">
        <v>11</v>
      </c>
      <c r="F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s="27" customFormat="1">
      <c r="A31" s="20" t="str">
        <f>A9</f>
        <v>ORLĘTA RASZYN 6</v>
      </c>
      <c r="B31" s="20" t="str">
        <f>A12</f>
        <v>VOLLEY RADZIEJOWICE 10</v>
      </c>
      <c r="C31" s="37">
        <v>7</v>
      </c>
      <c r="D31" s="37" t="s">
        <v>31</v>
      </c>
      <c r="E31" s="37">
        <v>11</v>
      </c>
      <c r="F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>
      <c r="A32" s="20" t="str">
        <f>A10</f>
        <v>ORLĘTA RASZYN 2</v>
      </c>
      <c r="B32" s="20" t="str">
        <f>A11</f>
        <v>ISKRA WARSZAWA 9</v>
      </c>
      <c r="C32" s="37">
        <v>11</v>
      </c>
      <c r="D32" s="37" t="s">
        <v>31</v>
      </c>
      <c r="E32" s="37">
        <v>7</v>
      </c>
    </row>
    <row r="33" spans="1:5">
      <c r="A33" s="20" t="str">
        <f>A12</f>
        <v>VOLLEY RADZIEJOWICE 10</v>
      </c>
      <c r="B33" s="20" t="str">
        <f>A10</f>
        <v>ORLĘTA RASZYN 2</v>
      </c>
      <c r="C33" s="37">
        <v>1</v>
      </c>
      <c r="D33" s="37" t="s">
        <v>31</v>
      </c>
      <c r="E33" s="37">
        <v>11</v>
      </c>
    </row>
    <row r="34" spans="1:5">
      <c r="A34" s="20" t="str">
        <f>A13</f>
        <v>ORLĘTA RASZYN 5</v>
      </c>
      <c r="B34" s="20" t="str">
        <f>A9</f>
        <v>ORLĘTA RASZYN 6</v>
      </c>
      <c r="C34" s="37">
        <v>11</v>
      </c>
      <c r="D34" s="37" t="s">
        <v>31</v>
      </c>
      <c r="E34" s="37">
        <v>9</v>
      </c>
    </row>
    <row r="35" spans="1:5">
      <c r="A35" s="20" t="str">
        <f>A14</f>
        <v>ISKRA WARSZAWA 6</v>
      </c>
      <c r="B35" s="20" t="str">
        <f>A8</f>
        <v>UKS LESZNOWOLA 7</v>
      </c>
      <c r="C35" s="37">
        <v>11</v>
      </c>
      <c r="D35" s="37" t="s">
        <v>31</v>
      </c>
      <c r="E35" s="37">
        <v>10</v>
      </c>
    </row>
    <row r="36" spans="1:5">
      <c r="A36" s="20" t="str">
        <f>A4</f>
        <v>LEGIA WARSZAWA 1</v>
      </c>
      <c r="B36" s="20" t="str">
        <f>A7</f>
        <v>ISKRA WARSZAWA 7</v>
      </c>
      <c r="C36" s="37">
        <v>4</v>
      </c>
      <c r="D36" s="37" t="s">
        <v>31</v>
      </c>
      <c r="E36" s="37">
        <v>11</v>
      </c>
    </row>
    <row r="37" spans="1:5">
      <c r="A37" s="20" t="str">
        <f>A5</f>
        <v>G-8 BIELANY 3</v>
      </c>
      <c r="B37" s="20" t="str">
        <f>A6</f>
        <v>RCS RADOM 1</v>
      </c>
      <c r="C37" s="37">
        <v>11</v>
      </c>
      <c r="D37" s="37" t="s">
        <v>31</v>
      </c>
      <c r="E37" s="37">
        <v>4</v>
      </c>
    </row>
    <row r="38" spans="1:5">
      <c r="A38" s="20" t="str">
        <f>A7</f>
        <v>ISKRA WARSZAWA 7</v>
      </c>
      <c r="B38" s="20" t="str">
        <f>A5</f>
        <v>G-8 BIELANY 3</v>
      </c>
      <c r="C38" s="37">
        <v>7</v>
      </c>
      <c r="D38" s="37" t="s">
        <v>31</v>
      </c>
      <c r="E38" s="37">
        <v>11</v>
      </c>
    </row>
    <row r="39" spans="1:5">
      <c r="A39" s="20" t="str">
        <f>A8</f>
        <v>UKS LESZNOWOLA 7</v>
      </c>
      <c r="B39" s="20" t="str">
        <f>A4</f>
        <v>LEGIA WARSZAWA 1</v>
      </c>
      <c r="C39" s="37">
        <v>11</v>
      </c>
      <c r="D39" s="37" t="s">
        <v>31</v>
      </c>
      <c r="E39" s="37">
        <v>0</v>
      </c>
    </row>
    <row r="40" spans="1:5">
      <c r="A40" s="20" t="str">
        <f t="shared" ref="A40" si="36">A7</f>
        <v>ISKRA WARSZAWA 7</v>
      </c>
      <c r="B40" s="20" t="str">
        <f>A5</f>
        <v>G-8 BIELANY 3</v>
      </c>
      <c r="C40" s="37"/>
      <c r="D40" s="37" t="s">
        <v>31</v>
      </c>
      <c r="E40" s="37"/>
    </row>
    <row r="41" spans="1:5">
      <c r="A41" s="20" t="str">
        <f>A9</f>
        <v>ORLĘTA RASZYN 6</v>
      </c>
      <c r="B41" s="20" t="str">
        <f>A14</f>
        <v>ISKRA WARSZAWA 6</v>
      </c>
      <c r="C41" s="37">
        <v>11</v>
      </c>
      <c r="D41" s="37" t="s">
        <v>31</v>
      </c>
      <c r="E41" s="37">
        <v>10</v>
      </c>
    </row>
    <row r="42" spans="1:5">
      <c r="A42" s="20" t="str">
        <f>A10</f>
        <v>ORLĘTA RASZYN 2</v>
      </c>
      <c r="B42" s="20" t="str">
        <f>A13</f>
        <v>ORLĘTA RASZYN 5</v>
      </c>
      <c r="C42" s="37">
        <v>11</v>
      </c>
      <c r="D42" s="37" t="s">
        <v>31</v>
      </c>
      <c r="E42" s="37">
        <v>9</v>
      </c>
    </row>
    <row r="43" spans="1:5">
      <c r="A43" s="20" t="str">
        <f>A11</f>
        <v>ISKRA WARSZAWA 9</v>
      </c>
      <c r="B43" s="20" t="str">
        <f>A12</f>
        <v>VOLLEY RADZIEJOWICE 10</v>
      </c>
      <c r="C43" s="37">
        <v>8</v>
      </c>
      <c r="D43" s="37" t="s">
        <v>31</v>
      </c>
      <c r="E43" s="37">
        <v>11</v>
      </c>
    </row>
    <row r="44" spans="1:5">
      <c r="A44" s="20" t="str">
        <f>A13</f>
        <v>ORLĘTA RASZYN 5</v>
      </c>
      <c r="B44" s="20" t="str">
        <f>A11</f>
        <v>ISKRA WARSZAWA 9</v>
      </c>
      <c r="C44" s="37">
        <v>8</v>
      </c>
      <c r="D44" s="37" t="s">
        <v>31</v>
      </c>
      <c r="E44" s="37">
        <v>11</v>
      </c>
    </row>
    <row r="45" spans="1:5">
      <c r="A45" s="20" t="str">
        <f>A14</f>
        <v>ISKRA WARSZAWA 6</v>
      </c>
      <c r="B45" s="20" t="str">
        <f>A10</f>
        <v>ORLĘTA RASZYN 2</v>
      </c>
      <c r="C45" s="37">
        <v>9</v>
      </c>
      <c r="D45" s="37" t="s">
        <v>31</v>
      </c>
      <c r="E45" s="37">
        <v>11</v>
      </c>
    </row>
    <row r="46" spans="1:5">
      <c r="A46" s="20" t="str">
        <f>A4</f>
        <v>LEGIA WARSZAWA 1</v>
      </c>
      <c r="B46" s="20" t="str">
        <f>A9</f>
        <v>ORLĘTA RASZYN 6</v>
      </c>
      <c r="C46" s="37">
        <v>0</v>
      </c>
      <c r="D46" s="37" t="s">
        <v>31</v>
      </c>
      <c r="E46" s="37">
        <v>11</v>
      </c>
    </row>
    <row r="47" spans="1:5">
      <c r="A47" s="20" t="str">
        <f t="shared" ref="A47:A51" si="37">A5</f>
        <v>G-8 BIELANY 3</v>
      </c>
      <c r="B47" s="20" t="str">
        <f>A8</f>
        <v>UKS LESZNOWOLA 7</v>
      </c>
      <c r="C47" s="37">
        <v>11</v>
      </c>
      <c r="D47" s="37" t="s">
        <v>31</v>
      </c>
      <c r="E47" s="37">
        <v>2</v>
      </c>
    </row>
    <row r="48" spans="1:5">
      <c r="A48" s="20" t="str">
        <f t="shared" si="37"/>
        <v>RCS RADOM 1</v>
      </c>
      <c r="B48" s="20" t="str">
        <f>A7</f>
        <v>ISKRA WARSZAWA 7</v>
      </c>
      <c r="C48" s="37">
        <v>8</v>
      </c>
      <c r="D48" s="37" t="s">
        <v>31</v>
      </c>
      <c r="E48" s="37">
        <v>11</v>
      </c>
    </row>
    <row r="49" spans="1:5">
      <c r="A49" s="20" t="str">
        <f>A8</f>
        <v>UKS LESZNOWOLA 7</v>
      </c>
      <c r="B49" s="20" t="str">
        <f>A6</f>
        <v>RCS RADOM 1</v>
      </c>
      <c r="C49" s="37">
        <v>9</v>
      </c>
      <c r="D49" s="37" t="s">
        <v>31</v>
      </c>
      <c r="E49" s="37">
        <v>11</v>
      </c>
    </row>
    <row r="50" spans="1:5">
      <c r="A50" s="20" t="str">
        <f>A9</f>
        <v>ORLĘTA RASZYN 6</v>
      </c>
      <c r="B50" s="20" t="str">
        <f>A5</f>
        <v>G-8 BIELANY 3</v>
      </c>
      <c r="C50" s="37">
        <v>6</v>
      </c>
      <c r="D50" s="37" t="s">
        <v>31</v>
      </c>
      <c r="E50" s="37">
        <v>11</v>
      </c>
    </row>
    <row r="51" spans="1:5">
      <c r="A51" s="20" t="str">
        <f t="shared" si="37"/>
        <v>ORLĘTA RASZYN 6</v>
      </c>
      <c r="B51" s="20" t="str">
        <f>A5</f>
        <v>G-8 BIELANY 3</v>
      </c>
      <c r="C51" s="37"/>
      <c r="D51" s="37" t="s">
        <v>31</v>
      </c>
      <c r="E51" s="37"/>
    </row>
    <row r="52" spans="1:5">
      <c r="A52" s="20" t="str">
        <f>A10</f>
        <v>ORLĘTA RASZYN 2</v>
      </c>
      <c r="B52" s="20" t="str">
        <f>A4</f>
        <v>LEGIA WARSZAWA 1</v>
      </c>
      <c r="C52" s="37">
        <v>11</v>
      </c>
      <c r="D52" s="37" t="s">
        <v>31</v>
      </c>
      <c r="E52" s="37">
        <v>0</v>
      </c>
    </row>
    <row r="53" spans="1:5">
      <c r="A53" s="20" t="str">
        <f>A11</f>
        <v>ISKRA WARSZAWA 9</v>
      </c>
      <c r="B53" s="20" t="str">
        <f>A14</f>
        <v>ISKRA WARSZAWA 6</v>
      </c>
      <c r="C53" s="37">
        <v>11</v>
      </c>
      <c r="D53" s="37" t="s">
        <v>31</v>
      </c>
      <c r="E53" s="37">
        <v>10</v>
      </c>
    </row>
    <row r="54" spans="1:5">
      <c r="A54" s="20" t="str">
        <f>A12</f>
        <v>VOLLEY RADZIEJOWICE 10</v>
      </c>
      <c r="B54" s="20" t="str">
        <f>A13</f>
        <v>ORLĘTA RASZYN 5</v>
      </c>
      <c r="C54" s="37">
        <v>11</v>
      </c>
      <c r="D54" s="37" t="s">
        <v>31</v>
      </c>
      <c r="E54" s="37">
        <v>5</v>
      </c>
    </row>
    <row r="55" spans="1:5">
      <c r="A55" s="20" t="str">
        <f>A14</f>
        <v>ISKRA WARSZAWA 6</v>
      </c>
      <c r="B55" s="20" t="str">
        <f>A12</f>
        <v>VOLLEY RADZIEJOWICE 10</v>
      </c>
      <c r="C55" s="37">
        <v>11</v>
      </c>
      <c r="D55" s="37" t="s">
        <v>31</v>
      </c>
      <c r="E55" s="37">
        <v>5</v>
      </c>
    </row>
    <row r="56" spans="1:5">
      <c r="A56" s="20" t="str">
        <f>A4</f>
        <v>LEGIA WARSZAWA 1</v>
      </c>
      <c r="B56" s="20" t="str">
        <f>A11</f>
        <v>ISKRA WARSZAWA 9</v>
      </c>
      <c r="C56" s="37">
        <v>0</v>
      </c>
      <c r="D56" s="37" t="s">
        <v>31</v>
      </c>
      <c r="E56" s="37">
        <v>11</v>
      </c>
    </row>
    <row r="57" spans="1:5">
      <c r="A57" s="20" t="str">
        <f t="shared" ref="A57:A61" si="38">A6</f>
        <v>RCS RADOM 1</v>
      </c>
      <c r="B57" s="20" t="str">
        <f>A9</f>
        <v>ORLĘTA RASZYN 6</v>
      </c>
      <c r="C57" s="37">
        <v>10</v>
      </c>
      <c r="D57" s="37" t="s">
        <v>31</v>
      </c>
      <c r="E57" s="37">
        <v>11</v>
      </c>
    </row>
    <row r="58" spans="1:5">
      <c r="A58" s="20" t="str">
        <f>A5</f>
        <v>G-8 BIELANY 3</v>
      </c>
      <c r="B58" s="20" t="str">
        <f>A10</f>
        <v>ORLĘTA RASZYN 2</v>
      </c>
      <c r="C58" s="37">
        <v>11</v>
      </c>
      <c r="D58" s="37" t="s">
        <v>31</v>
      </c>
      <c r="E58" s="37">
        <v>4</v>
      </c>
    </row>
    <row r="59" spans="1:5">
      <c r="A59" s="20" t="str">
        <f>A6</f>
        <v>RCS RADOM 1</v>
      </c>
      <c r="B59" s="20" t="str">
        <f>A9</f>
        <v>ORLĘTA RASZYN 6</v>
      </c>
      <c r="C59" s="37"/>
      <c r="D59" s="37" t="s">
        <v>31</v>
      </c>
      <c r="E59" s="37"/>
    </row>
    <row r="60" spans="1:5">
      <c r="A60" s="20" t="str">
        <f>A7</f>
        <v>ISKRA WARSZAWA 7</v>
      </c>
      <c r="B60" s="20" t="str">
        <f>A8</f>
        <v>UKS LESZNOWOLA 7</v>
      </c>
      <c r="C60" s="37">
        <v>10</v>
      </c>
      <c r="D60" s="37" t="s">
        <v>31</v>
      </c>
      <c r="E60" s="37">
        <v>11</v>
      </c>
    </row>
    <row r="61" spans="1:5">
      <c r="A61" s="20" t="str">
        <f t="shared" si="38"/>
        <v>ORLĘTA RASZYN 2</v>
      </c>
      <c r="B61" s="20" t="str">
        <f>A6</f>
        <v>RCS RADOM 1</v>
      </c>
      <c r="C61" s="37">
        <v>8</v>
      </c>
      <c r="D61" s="37" t="s">
        <v>31</v>
      </c>
      <c r="E61" s="37">
        <v>11</v>
      </c>
    </row>
    <row r="62" spans="1:5">
      <c r="A62" s="20" t="str">
        <f>A9</f>
        <v>ORLĘTA RASZYN 6</v>
      </c>
      <c r="B62" s="20" t="str">
        <f>A7</f>
        <v>ISKRA WARSZAWA 7</v>
      </c>
      <c r="C62" s="37">
        <v>11</v>
      </c>
      <c r="D62" s="37" t="s">
        <v>31</v>
      </c>
      <c r="E62" s="37">
        <v>6</v>
      </c>
    </row>
    <row r="63" spans="1:5">
      <c r="A63" s="20" t="str">
        <f>A10</f>
        <v>ORLĘTA RASZYN 2</v>
      </c>
      <c r="B63" s="20" t="str">
        <f>A6</f>
        <v>RCS RADOM 1</v>
      </c>
      <c r="C63" s="37"/>
      <c r="D63" s="37" t="s">
        <v>31</v>
      </c>
      <c r="E63" s="37"/>
    </row>
    <row r="64" spans="1:5">
      <c r="A64" s="20" t="str">
        <f>A11</f>
        <v>ISKRA WARSZAWA 9</v>
      </c>
      <c r="B64" s="20" t="str">
        <f>A5</f>
        <v>G-8 BIELANY 3</v>
      </c>
      <c r="C64" s="37">
        <v>10</v>
      </c>
      <c r="D64" s="37" t="s">
        <v>31</v>
      </c>
      <c r="E64" s="37">
        <v>11</v>
      </c>
    </row>
    <row r="65" spans="1:5">
      <c r="A65" s="20" t="str">
        <f>A12</f>
        <v>VOLLEY RADZIEJOWICE 10</v>
      </c>
      <c r="B65" s="20" t="str">
        <f>A4</f>
        <v>LEGIA WARSZAWA 1</v>
      </c>
      <c r="C65" s="37">
        <v>11</v>
      </c>
      <c r="D65" s="37" t="s">
        <v>31</v>
      </c>
      <c r="E65" s="37">
        <v>0</v>
      </c>
    </row>
    <row r="66" spans="1:5">
      <c r="A66" s="20" t="str">
        <f>A13</f>
        <v>ORLĘTA RASZYN 5</v>
      </c>
      <c r="B66" s="20" t="str">
        <f>A14</f>
        <v>ISKRA WARSZAWA 6</v>
      </c>
      <c r="C66" s="37">
        <v>11</v>
      </c>
      <c r="D66" s="37" t="s">
        <v>31</v>
      </c>
      <c r="E66" s="37">
        <v>8</v>
      </c>
    </row>
    <row r="67" spans="1:5">
      <c r="A67" s="20" t="str">
        <f>A4</f>
        <v>LEGIA WARSZAWA 1</v>
      </c>
      <c r="B67" s="20" t="str">
        <f>A13</f>
        <v>ORLĘTA RASZYN 5</v>
      </c>
      <c r="C67" s="37">
        <v>0</v>
      </c>
      <c r="D67" s="37" t="s">
        <v>31</v>
      </c>
      <c r="E67" s="37">
        <v>11</v>
      </c>
    </row>
    <row r="68" spans="1:5">
      <c r="A68" s="20" t="str">
        <f>A5</f>
        <v>G-8 BIELANY 3</v>
      </c>
      <c r="B68" s="20" t="str">
        <f>A12</f>
        <v>VOLLEY RADZIEJOWICE 10</v>
      </c>
      <c r="C68" s="37">
        <v>11</v>
      </c>
      <c r="D68" s="37" t="s">
        <v>31</v>
      </c>
      <c r="E68" s="37">
        <v>7</v>
      </c>
    </row>
    <row r="69" spans="1:5">
      <c r="A69" s="20" t="str">
        <f>A6</f>
        <v>RCS RADOM 1</v>
      </c>
      <c r="B69" s="20" t="str">
        <f>A11</f>
        <v>ISKRA WARSZAWA 9</v>
      </c>
      <c r="C69" s="37">
        <v>11</v>
      </c>
      <c r="D69" s="37" t="s">
        <v>31</v>
      </c>
      <c r="E69" s="37">
        <v>10</v>
      </c>
    </row>
    <row r="70" spans="1:5">
      <c r="A70" s="20" t="str">
        <f>A7</f>
        <v>ISKRA WARSZAWA 7</v>
      </c>
      <c r="B70" s="20" t="str">
        <f>A10</f>
        <v>ORLĘTA RASZYN 2</v>
      </c>
      <c r="C70" s="37">
        <v>10</v>
      </c>
      <c r="D70" s="37" t="s">
        <v>31</v>
      </c>
      <c r="E70" s="37">
        <v>11</v>
      </c>
    </row>
    <row r="71" spans="1:5">
      <c r="A71" s="20" t="str">
        <f>A8</f>
        <v>UKS LESZNOWOLA 7</v>
      </c>
      <c r="B71" s="20" t="str">
        <f>A9</f>
        <v>ORLĘTA RASZYN 6</v>
      </c>
      <c r="C71" s="37">
        <v>11</v>
      </c>
      <c r="D71" s="37" t="s">
        <v>31</v>
      </c>
      <c r="E71" s="37">
        <v>6</v>
      </c>
    </row>
    <row r="72" spans="1:5">
      <c r="A72" s="20" t="str">
        <f>A10</f>
        <v>ORLĘTA RASZYN 2</v>
      </c>
      <c r="B72" s="20" t="str">
        <f>A8</f>
        <v>UKS LESZNOWOLA 7</v>
      </c>
      <c r="C72" s="37">
        <v>8</v>
      </c>
      <c r="D72" s="37" t="s">
        <v>31</v>
      </c>
      <c r="E72" s="37">
        <v>11</v>
      </c>
    </row>
    <row r="73" spans="1:5">
      <c r="A73" s="20" t="str">
        <f>A11</f>
        <v>ISKRA WARSZAWA 9</v>
      </c>
      <c r="B73" s="20" t="str">
        <f>A7</f>
        <v>ISKRA WARSZAWA 7</v>
      </c>
      <c r="C73" s="37">
        <v>4</v>
      </c>
      <c r="D73" s="37" t="s">
        <v>31</v>
      </c>
      <c r="E73" s="37">
        <v>11</v>
      </c>
    </row>
    <row r="74" spans="1:5">
      <c r="A74" s="20" t="str">
        <f>A12</f>
        <v>VOLLEY RADZIEJOWICE 10</v>
      </c>
      <c r="B74" s="20" t="str">
        <f>A6</f>
        <v>RCS RADOM 1</v>
      </c>
      <c r="C74" s="37">
        <v>7</v>
      </c>
      <c r="D74" s="37" t="s">
        <v>31</v>
      </c>
      <c r="E74" s="37">
        <v>11</v>
      </c>
    </row>
    <row r="75" spans="1:5">
      <c r="A75" s="20" t="str">
        <f>A13</f>
        <v>ORLĘTA RASZYN 5</v>
      </c>
      <c r="B75" s="20" t="str">
        <f>A5</f>
        <v>G-8 BIELANY 3</v>
      </c>
      <c r="C75" s="37">
        <v>8</v>
      </c>
      <c r="D75" s="37" t="s">
        <v>31</v>
      </c>
      <c r="E75" s="37">
        <v>11</v>
      </c>
    </row>
    <row r="76" spans="1:5">
      <c r="A76" s="20" t="str">
        <f>A14</f>
        <v>ISKRA WARSZAWA 6</v>
      </c>
      <c r="B76" s="20" t="str">
        <f>A4</f>
        <v>LEGIA WARSZAWA 1</v>
      </c>
      <c r="C76" s="37">
        <v>11</v>
      </c>
      <c r="D76" s="37" t="s">
        <v>31</v>
      </c>
      <c r="E76" s="37">
        <v>0</v>
      </c>
    </row>
  </sheetData>
  <autoFilter ref="A17:B76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8CB9-9BCB-4483-8CCE-5D4DB757B88C}">
  <sheetPr>
    <pageSetUpPr fitToPage="1"/>
  </sheetPr>
  <dimension ref="A1:AC76"/>
  <sheetViews>
    <sheetView workbookViewId="0">
      <selection activeCell="G51" sqref="G51"/>
    </sheetView>
  </sheetViews>
  <sheetFormatPr defaultColWidth="8.85546875" defaultRowHeight="15"/>
  <cols>
    <col min="1" max="2" width="24" style="26" bestFit="1" customWidth="1"/>
    <col min="3" max="5" width="3.85546875" style="26" customWidth="1"/>
    <col min="6" max="6" width="8.28515625" style="26" customWidth="1"/>
    <col min="7" max="7" width="8.28515625" style="27" customWidth="1"/>
    <col min="8" max="8" width="24.42578125" style="27" bestFit="1" customWidth="1"/>
    <col min="9" max="9" width="11.7109375" style="27" customWidth="1"/>
    <col min="10" max="16" width="11.7109375" style="26" customWidth="1"/>
    <col min="17" max="17" width="11.42578125" style="26" customWidth="1"/>
    <col min="18" max="18" width="8.85546875" style="26" customWidth="1"/>
    <col min="19" max="19" width="10.42578125" style="26" bestFit="1" customWidth="1"/>
    <col min="20" max="26" width="9.140625" style="26" customWidth="1"/>
    <col min="27" max="27" width="7" style="26" customWidth="1"/>
    <col min="28" max="28" width="9.140625" style="26" customWidth="1"/>
    <col min="29" max="29" width="8.85546875" style="26" customWidth="1"/>
    <col min="30" max="16384" width="8.85546875" style="26"/>
  </cols>
  <sheetData>
    <row r="1" spans="1:29" ht="28.5">
      <c r="A1" s="25" t="s">
        <v>78</v>
      </c>
      <c r="S1" s="26" t="s">
        <v>1</v>
      </c>
      <c r="T1" s="26" t="b">
        <f>ROWS(homescore)-COUNT(homescore)=0</f>
        <v>0</v>
      </c>
    </row>
    <row r="2" spans="1:29">
      <c r="H2" s="28" t="s">
        <v>2</v>
      </c>
      <c r="I2" s="29" t="s">
        <v>3</v>
      </c>
      <c r="J2" s="29" t="s">
        <v>4</v>
      </c>
      <c r="K2" s="29" t="s">
        <v>5</v>
      </c>
      <c r="L2" s="29" t="s">
        <v>6</v>
      </c>
      <c r="M2" s="29" t="s">
        <v>7</v>
      </c>
      <c r="N2" s="29" t="s">
        <v>8</v>
      </c>
      <c r="O2" s="30" t="s">
        <v>9</v>
      </c>
      <c r="P2" s="30" t="s">
        <v>10</v>
      </c>
      <c r="T2" s="31" t="s">
        <v>3</v>
      </c>
      <c r="U2" s="32" t="s">
        <v>11</v>
      </c>
      <c r="V2" s="32" t="s">
        <v>12</v>
      </c>
      <c r="W2" s="33" t="s">
        <v>13</v>
      </c>
      <c r="X2" s="28" t="s">
        <v>14</v>
      </c>
      <c r="Y2" s="32" t="s">
        <v>15</v>
      </c>
      <c r="Z2" s="34" t="s">
        <v>16</v>
      </c>
      <c r="AA2" s="33" t="s">
        <v>12</v>
      </c>
      <c r="AB2" s="33" t="s">
        <v>17</v>
      </c>
      <c r="AC2" s="26" t="s">
        <v>18</v>
      </c>
    </row>
    <row r="3" spans="1:29">
      <c r="A3" s="35" t="s">
        <v>2</v>
      </c>
      <c r="B3" s="36"/>
      <c r="H3" s="37" t="str">
        <f>_xlfn.XLOOKUP(1,$AC$3:$AC$13,$S$3:$S$13)</f>
        <v>UKS LESZNOWOLA 6</v>
      </c>
      <c r="I3" s="37">
        <f t="shared" ref="I3:I13" si="0">VLOOKUP($H3,$S$3:$AA$13,2,0)</f>
        <v>10</v>
      </c>
      <c r="J3" s="37">
        <f t="shared" ref="J3:J13" si="1">VLOOKUP($H3,$S$3:$AA$13,3,0)</f>
        <v>9</v>
      </c>
      <c r="K3" s="37">
        <f t="shared" ref="K3:K13" si="2">VLOOKUP($H3,$S$3:$AA$13,4,0)</f>
        <v>1</v>
      </c>
      <c r="L3" s="37">
        <f t="shared" ref="L3:L13" si="3">VLOOKUP($H3,$S$3:$AA$13,5,0)</f>
        <v>101</v>
      </c>
      <c r="M3" s="37">
        <f t="shared" ref="M3:M13" si="4">VLOOKUP($H3,$S$3:$AA$13,6,0)</f>
        <v>58</v>
      </c>
      <c r="N3" s="37">
        <f t="shared" ref="N3:N13" si="5">VLOOKUP($H3,$S$3:$AA$13,7,0)</f>
        <v>43</v>
      </c>
      <c r="O3" s="38">
        <f>IF(Tabela137[[#This Row],[STRACONE]]=0,0,Tabela137[[#This Row],[ZDOBYTE]]/Tabela137[[#This Row],[STRACONE]])</f>
        <v>1.7413793103448276</v>
      </c>
      <c r="P3" s="39">
        <f t="shared" ref="P3:P13" si="6">VLOOKUP($H3,$S$3:$AB$13,9,0)</f>
        <v>18</v>
      </c>
      <c r="S3" s="40" t="str">
        <f t="shared" ref="S3:S10" si="7">A4</f>
        <v>RCS RADOM 4</v>
      </c>
      <c r="T3" s="41">
        <f t="array" ref="T3">SUM((home=S3)*(ISNUMBER(homescore)),(visitor=S3)*(ISNUMBER(visitorscore)))</f>
        <v>10</v>
      </c>
      <c r="U3" s="27">
        <f t="array" ref="U3">SUM((home=S3)*(homescore&gt;visitorscore),(visitor=S3)*(visitorscore&gt;homescore))</f>
        <v>0</v>
      </c>
      <c r="V3" s="27">
        <f t="array" ref="V3">SUM((home=S3)*(homescore&lt;visitorscore),(visitor=S3)*(visitorscore&lt;homescore))</f>
        <v>9</v>
      </c>
      <c r="W3" s="42">
        <f t="shared" ref="W3" si="8">SUMIF(home,S3,homescore)+SUMIF(visitor,S3,visitorscore)</f>
        <v>0</v>
      </c>
      <c r="X3" s="43">
        <f t="shared" ref="X3" si="9">SUMIF(home,S3,visitorscore)+SUMIF(visitor,S3,homescore)</f>
        <v>99</v>
      </c>
      <c r="Y3" s="27">
        <f>W3-X3</f>
        <v>-99</v>
      </c>
      <c r="Z3" s="44">
        <f>IF(X3&gt;0,W3/X3,0)</f>
        <v>0</v>
      </c>
      <c r="AA3" s="42">
        <f>2*U3</f>
        <v>0</v>
      </c>
      <c r="AB3" s="45">
        <f>W3+Z3*1000+Y3*10000+AA3*100000000</f>
        <v>-990000</v>
      </c>
      <c r="AC3" s="26">
        <f>RANK(AB3,$AB$3:$AB$13)</f>
        <v>11</v>
      </c>
    </row>
    <row r="4" spans="1:29">
      <c r="A4" s="46" t="s">
        <v>79</v>
      </c>
      <c r="H4" s="37" t="str">
        <f>_xlfn.XLOOKUP(2,$AC$3:$AC$13,$S$3:$S$13)</f>
        <v>UKS LESZNOWOLA 3</v>
      </c>
      <c r="I4" s="37">
        <f t="shared" si="0"/>
        <v>10</v>
      </c>
      <c r="J4" s="37">
        <f t="shared" si="1"/>
        <v>8</v>
      </c>
      <c r="K4" s="37">
        <f t="shared" si="2"/>
        <v>2</v>
      </c>
      <c r="L4" s="37">
        <f t="shared" si="3"/>
        <v>103</v>
      </c>
      <c r="M4" s="37">
        <f t="shared" si="4"/>
        <v>60</v>
      </c>
      <c r="N4" s="37">
        <f t="shared" si="5"/>
        <v>43</v>
      </c>
      <c r="O4" s="38">
        <f>IF(Tabela137[[#This Row],[STRACONE]]=0,0,Tabela137[[#This Row],[ZDOBYTE]]/Tabela137[[#This Row],[STRACONE]])</f>
        <v>1.7166666666666666</v>
      </c>
      <c r="P4" s="39">
        <f t="shared" si="6"/>
        <v>16</v>
      </c>
      <c r="S4" s="47" t="str">
        <f t="shared" si="7"/>
        <v>GLKS NADARZYN 4</v>
      </c>
      <c r="T4" s="41">
        <f t="array" ref="T4">SUM((home=S4)*(ISNUMBER(homescore)),(visitor=S4)*(ISNUMBER(visitorscore)))</f>
        <v>10</v>
      </c>
      <c r="U4" s="27">
        <f t="array" ref="U4">SUM((home=S4)*(homescore&gt;visitorscore),(visitor=S4)*(visitorscore&gt;homescore))</f>
        <v>4</v>
      </c>
      <c r="V4" s="27">
        <f t="array" ref="V4">SUM((home=S4)*(homescore&lt;visitorscore),(visitor=S4)*(visitorscore&lt;homescore))</f>
        <v>6</v>
      </c>
      <c r="W4" s="42">
        <f t="shared" ref="W4" si="10">SUMIF(home,S4,homescore)+SUMIF(visitor,S4,visitorscore)</f>
        <v>85</v>
      </c>
      <c r="X4" s="43">
        <f t="shared" ref="X4" si="11">SUMIF(home,S4,visitorscore)+SUMIF(visitor,S4,homescore)</f>
        <v>75</v>
      </c>
      <c r="Y4" s="27">
        <f t="shared" ref="Y4:Y11" si="12">W4-X4</f>
        <v>10</v>
      </c>
      <c r="Z4" s="44">
        <f t="shared" ref="Z4:Z11" si="13">IF(X4&gt;0,W4/X4,0)</f>
        <v>1.1333333333333333</v>
      </c>
      <c r="AA4" s="42">
        <f t="shared" ref="AA4:AA11" si="14">2*U4</f>
        <v>8</v>
      </c>
      <c r="AB4" s="45">
        <f t="shared" ref="AB4:AB11" si="15">W4+Z4*1000+Y4*10000+AA4*100000000</f>
        <v>800101218.33333337</v>
      </c>
      <c r="AC4" s="26">
        <f t="shared" ref="AC4:AC13" si="16">RANK(AB4,$AB$3:$AB$13)</f>
        <v>8</v>
      </c>
    </row>
    <row r="5" spans="1:29">
      <c r="A5" s="46" t="s">
        <v>80</v>
      </c>
      <c r="H5" s="37" t="str">
        <f>_xlfn.XLOOKUP(3,$AC$3:$AC$13,$S$3:$S$13)</f>
        <v>ISKRA WARSZAWA 3</v>
      </c>
      <c r="I5" s="37">
        <f t="shared" si="0"/>
        <v>10</v>
      </c>
      <c r="J5" s="37">
        <f t="shared" si="1"/>
        <v>7</v>
      </c>
      <c r="K5" s="37">
        <f t="shared" si="2"/>
        <v>3</v>
      </c>
      <c r="L5" s="37">
        <f t="shared" si="3"/>
        <v>97</v>
      </c>
      <c r="M5" s="37">
        <f t="shared" si="4"/>
        <v>55</v>
      </c>
      <c r="N5" s="37">
        <f t="shared" si="5"/>
        <v>42</v>
      </c>
      <c r="O5" s="38">
        <f>IF(Tabela137[[#This Row],[STRACONE]]=0,0,Tabela137[[#This Row],[ZDOBYTE]]/Tabela137[[#This Row],[STRACONE]])</f>
        <v>1.7636363636363637</v>
      </c>
      <c r="P5" s="39">
        <f t="shared" si="6"/>
        <v>14</v>
      </c>
      <c r="S5" s="47" t="str">
        <f t="shared" si="7"/>
        <v>ISKRA WARSZAWA 3</v>
      </c>
      <c r="T5" s="41">
        <f t="array" ref="T5">SUM((home=S5)*(ISNUMBER(homescore)),(visitor=S5)*(ISNUMBER(visitorscore)))</f>
        <v>10</v>
      </c>
      <c r="U5" s="27">
        <f t="array" ref="U5">SUM((home=S5)*(homescore&gt;visitorscore),(visitor=S5)*(visitorscore&gt;homescore))</f>
        <v>7</v>
      </c>
      <c r="V5" s="27">
        <f t="array" ref="V5">SUM((home=S5)*(homescore&lt;visitorscore),(visitor=S5)*(visitorscore&lt;homescore))</f>
        <v>3</v>
      </c>
      <c r="W5" s="42">
        <f t="shared" ref="W5" si="17">SUMIF(home,S5,homescore)+SUMIF(visitor,S5,visitorscore)</f>
        <v>97</v>
      </c>
      <c r="X5" s="43">
        <f t="shared" ref="X5" si="18">SUMIF(home,S5,visitorscore)+SUMIF(visitor,S5,homescore)</f>
        <v>55</v>
      </c>
      <c r="Y5" s="27">
        <f t="shared" si="12"/>
        <v>42</v>
      </c>
      <c r="Z5" s="44">
        <f t="shared" si="13"/>
        <v>1.7636363636363637</v>
      </c>
      <c r="AA5" s="42">
        <f t="shared" si="14"/>
        <v>14</v>
      </c>
      <c r="AB5" s="45">
        <f t="shared" si="15"/>
        <v>1400421860.6363637</v>
      </c>
      <c r="AC5" s="26">
        <f t="shared" si="16"/>
        <v>3</v>
      </c>
    </row>
    <row r="6" spans="1:29">
      <c r="A6" s="46" t="s">
        <v>81</v>
      </c>
      <c r="H6" s="37" t="str">
        <f>_xlfn.XLOOKUP(4,$AC$3:$AC$13,$S$3:$S$13)</f>
        <v>ISKRA WARSZAWA 2</v>
      </c>
      <c r="I6" s="37">
        <f t="shared" si="0"/>
        <v>10</v>
      </c>
      <c r="J6" s="37">
        <f t="shared" si="1"/>
        <v>7</v>
      </c>
      <c r="K6" s="37">
        <f t="shared" si="2"/>
        <v>3</v>
      </c>
      <c r="L6" s="37">
        <f t="shared" si="3"/>
        <v>98</v>
      </c>
      <c r="M6" s="37">
        <f t="shared" si="4"/>
        <v>56</v>
      </c>
      <c r="N6" s="37">
        <f t="shared" si="5"/>
        <v>42</v>
      </c>
      <c r="O6" s="38">
        <f>IF(Tabela137[[#This Row],[STRACONE]]=0,0,Tabela137[[#This Row],[ZDOBYTE]]/Tabela137[[#This Row],[STRACONE]])</f>
        <v>1.75</v>
      </c>
      <c r="P6" s="39">
        <f t="shared" si="6"/>
        <v>14</v>
      </c>
      <c r="S6" s="47" t="str">
        <f t="shared" si="7"/>
        <v>UKS LESZNOWOLA 3</v>
      </c>
      <c r="T6" s="41">
        <f t="array" ref="T6">SUM((home=S6)*(ISNUMBER(homescore)),(visitor=S6)*(ISNUMBER(visitorscore)))</f>
        <v>10</v>
      </c>
      <c r="U6" s="27">
        <f t="array" ref="U6">SUM((home=S6)*(homescore&gt;visitorscore),(visitor=S6)*(visitorscore&gt;homescore))</f>
        <v>8</v>
      </c>
      <c r="V6" s="27">
        <f t="array" ref="V6">SUM((home=S6)*(homescore&lt;visitorscore),(visitor=S6)*(visitorscore&lt;homescore))</f>
        <v>2</v>
      </c>
      <c r="W6" s="42">
        <f t="shared" ref="W6" si="19">SUMIF(home,S6,homescore)+SUMIF(visitor,S6,visitorscore)</f>
        <v>103</v>
      </c>
      <c r="X6" s="43">
        <f t="shared" ref="X6" si="20">SUMIF(home,S6,visitorscore)+SUMIF(visitor,S6,homescore)</f>
        <v>60</v>
      </c>
      <c r="Y6" s="27">
        <f t="shared" si="12"/>
        <v>43</v>
      </c>
      <c r="Z6" s="44">
        <f t="shared" si="13"/>
        <v>1.7166666666666666</v>
      </c>
      <c r="AA6" s="42">
        <f t="shared" si="14"/>
        <v>16</v>
      </c>
      <c r="AB6" s="45">
        <f t="shared" si="15"/>
        <v>1600431819.6666667</v>
      </c>
      <c r="AC6" s="26">
        <f t="shared" si="16"/>
        <v>2</v>
      </c>
    </row>
    <row r="7" spans="1:29">
      <c r="A7" s="46" t="s">
        <v>82</v>
      </c>
      <c r="H7" s="37" t="str">
        <f>_xlfn.XLOOKUP(5,$AC$3:$AC$13,$S$3:$S$13)</f>
        <v>SPARTA GRODZISK MAZ. 7</v>
      </c>
      <c r="I7" s="37">
        <f t="shared" si="0"/>
        <v>10</v>
      </c>
      <c r="J7" s="37">
        <f t="shared" si="1"/>
        <v>7</v>
      </c>
      <c r="K7" s="37">
        <f t="shared" si="2"/>
        <v>3</v>
      </c>
      <c r="L7" s="37">
        <f t="shared" si="3"/>
        <v>94</v>
      </c>
      <c r="M7" s="37">
        <f t="shared" si="4"/>
        <v>68</v>
      </c>
      <c r="N7" s="37">
        <f t="shared" si="5"/>
        <v>26</v>
      </c>
      <c r="O7" s="38">
        <f>IF(Tabela137[[#This Row],[STRACONE]]=0,0,Tabela137[[#This Row],[ZDOBYTE]]/Tabela137[[#This Row],[STRACONE]])</f>
        <v>1.3823529411764706</v>
      </c>
      <c r="P7" s="39">
        <f t="shared" si="6"/>
        <v>14</v>
      </c>
      <c r="S7" s="47" t="str">
        <f t="shared" si="7"/>
        <v>ISKRA WARSZAWA 1</v>
      </c>
      <c r="T7" s="41">
        <f t="array" ref="T7">SUM((home=S7)*(ISNUMBER(homescore)),(visitor=S7)*(ISNUMBER(visitorscore)))</f>
        <v>10</v>
      </c>
      <c r="U7" s="27">
        <f t="array" ref="U7">SUM((home=S7)*(homescore&gt;visitorscore),(visitor=S7)*(visitorscore&gt;homescore))</f>
        <v>2</v>
      </c>
      <c r="V7" s="27">
        <f t="array" ref="V7">SUM((home=S7)*(homescore&lt;visitorscore),(visitor=S7)*(visitorscore&lt;homescore))</f>
        <v>8</v>
      </c>
      <c r="W7" s="42">
        <f t="shared" ref="W7" si="21">SUMIF(home,S7,homescore)+SUMIF(visitor,S7,visitorscore)</f>
        <v>22</v>
      </c>
      <c r="X7" s="43">
        <f t="shared" ref="X7" si="22">SUMIF(home,S7,visitorscore)+SUMIF(visitor,S7,homescore)</f>
        <v>88</v>
      </c>
      <c r="Y7" s="27">
        <f t="shared" si="12"/>
        <v>-66</v>
      </c>
      <c r="Z7" s="44">
        <f t="shared" si="13"/>
        <v>0.25</v>
      </c>
      <c r="AA7" s="42">
        <f t="shared" si="14"/>
        <v>4</v>
      </c>
      <c r="AB7" s="45">
        <f t="shared" si="15"/>
        <v>399340272</v>
      </c>
      <c r="AC7" s="26">
        <f t="shared" si="16"/>
        <v>9</v>
      </c>
    </row>
    <row r="8" spans="1:29">
      <c r="A8" s="46" t="s">
        <v>83</v>
      </c>
      <c r="H8" s="37" t="str">
        <f>_xlfn.XLOOKUP(6,$AC$3:$AC$13,$S$3:$S$13)</f>
        <v>SPARTA GRODZISK MAZ. 3</v>
      </c>
      <c r="I8" s="37">
        <f t="shared" si="0"/>
        <v>10</v>
      </c>
      <c r="J8" s="37">
        <f t="shared" si="1"/>
        <v>5</v>
      </c>
      <c r="K8" s="37">
        <f t="shared" si="2"/>
        <v>5</v>
      </c>
      <c r="L8" s="37">
        <f t="shared" si="3"/>
        <v>99</v>
      </c>
      <c r="M8" s="37">
        <f t="shared" si="4"/>
        <v>68</v>
      </c>
      <c r="N8" s="37">
        <f t="shared" si="5"/>
        <v>31</v>
      </c>
      <c r="O8" s="38">
        <f>IF(Tabela137[[#This Row],[STRACONE]]=0,0,Tabela137[[#This Row],[ZDOBYTE]]/Tabela137[[#This Row],[STRACONE]])</f>
        <v>1.4558823529411764</v>
      </c>
      <c r="P8" s="39">
        <f t="shared" si="6"/>
        <v>10</v>
      </c>
      <c r="S8" s="47" t="str">
        <f t="shared" si="7"/>
        <v>UKS LESZNOWOLA 6</v>
      </c>
      <c r="T8" s="41">
        <f t="array" ref="T8">SUM((home=S8)*(ISNUMBER(homescore)),(visitor=S8)*(ISNUMBER(visitorscore)))</f>
        <v>10</v>
      </c>
      <c r="U8" s="27">
        <f t="array" ref="U8">SUM((home=S8)*(homescore&gt;visitorscore),(visitor=S8)*(visitorscore&gt;homescore))</f>
        <v>9</v>
      </c>
      <c r="V8" s="27">
        <f t="array" ref="V8">SUM((home=S8)*(homescore&lt;visitorscore),(visitor=S8)*(visitorscore&lt;homescore))</f>
        <v>1</v>
      </c>
      <c r="W8" s="42">
        <f t="shared" ref="W8" si="23">SUMIF(home,S8,homescore)+SUMIF(visitor,S8,visitorscore)</f>
        <v>101</v>
      </c>
      <c r="X8" s="43">
        <f t="shared" ref="X8" si="24">SUMIF(home,S8,visitorscore)+SUMIF(visitor,S8,homescore)</f>
        <v>58</v>
      </c>
      <c r="Y8" s="27">
        <f t="shared" si="12"/>
        <v>43</v>
      </c>
      <c r="Z8" s="44">
        <f t="shared" si="13"/>
        <v>1.7413793103448276</v>
      </c>
      <c r="AA8" s="42">
        <f t="shared" si="14"/>
        <v>18</v>
      </c>
      <c r="AB8" s="45">
        <f t="shared" si="15"/>
        <v>1800431842.3793104</v>
      </c>
      <c r="AC8" s="26">
        <f t="shared" si="16"/>
        <v>1</v>
      </c>
    </row>
    <row r="9" spans="1:29">
      <c r="A9" s="46" t="s">
        <v>84</v>
      </c>
      <c r="H9" s="37" t="str">
        <f>_xlfn.XLOOKUP(7,$AC$3:$AC$13,$S$3:$S$13)</f>
        <v>ORLĘTA RASZYN 3</v>
      </c>
      <c r="I9" s="37">
        <f t="shared" si="0"/>
        <v>10</v>
      </c>
      <c r="J9" s="37">
        <f t="shared" si="1"/>
        <v>5</v>
      </c>
      <c r="K9" s="37">
        <f t="shared" si="2"/>
        <v>5</v>
      </c>
      <c r="L9" s="37">
        <f t="shared" si="3"/>
        <v>99</v>
      </c>
      <c r="M9" s="37">
        <f t="shared" si="4"/>
        <v>72</v>
      </c>
      <c r="N9" s="37">
        <f t="shared" si="5"/>
        <v>27</v>
      </c>
      <c r="O9" s="38">
        <f>IF(Tabela137[[#This Row],[STRACONE]]=0,0,Tabela137[[#This Row],[ZDOBYTE]]/Tabela137[[#This Row],[STRACONE]])</f>
        <v>1.375</v>
      </c>
      <c r="P9" s="39">
        <f t="shared" si="6"/>
        <v>10</v>
      </c>
      <c r="S9" s="47" t="str">
        <f t="shared" si="7"/>
        <v>ISKRA WARSZAWA 2</v>
      </c>
      <c r="T9" s="41">
        <f t="array" ref="T9">SUM((home=S9)*(ISNUMBER(homescore)),(visitor=S9)*(ISNUMBER(visitorscore)))</f>
        <v>10</v>
      </c>
      <c r="U9" s="27">
        <f t="array" ref="U9">SUM((home=S9)*(homescore&gt;visitorscore),(visitor=S9)*(visitorscore&gt;homescore))</f>
        <v>7</v>
      </c>
      <c r="V9" s="27">
        <f t="array" ref="V9">SUM((home=S9)*(homescore&lt;visitorscore),(visitor=S9)*(visitorscore&lt;homescore))</f>
        <v>3</v>
      </c>
      <c r="W9" s="42">
        <f t="shared" ref="W9" si="25">SUMIF(home,S9,homescore)+SUMIF(visitor,S9,visitorscore)</f>
        <v>98</v>
      </c>
      <c r="X9" s="43">
        <f t="shared" ref="X9" si="26">SUMIF(home,S9,visitorscore)+SUMIF(visitor,S9,homescore)</f>
        <v>56</v>
      </c>
      <c r="Y9" s="27">
        <f t="shared" si="12"/>
        <v>42</v>
      </c>
      <c r="Z9" s="44">
        <f t="shared" si="13"/>
        <v>1.75</v>
      </c>
      <c r="AA9" s="42">
        <f t="shared" si="14"/>
        <v>14</v>
      </c>
      <c r="AB9" s="45">
        <f t="shared" si="15"/>
        <v>1400421848</v>
      </c>
      <c r="AC9" s="26">
        <f t="shared" si="16"/>
        <v>4</v>
      </c>
    </row>
    <row r="10" spans="1:29">
      <c r="A10" s="46" t="s">
        <v>85</v>
      </c>
      <c r="H10" s="37" t="str">
        <f>_xlfn.XLOOKUP(8,$AC$3:$AC$13,$S$3:$S$13)</f>
        <v>GLKS NADARZYN 4</v>
      </c>
      <c r="I10" s="37">
        <f t="shared" si="0"/>
        <v>10</v>
      </c>
      <c r="J10" s="37">
        <f t="shared" si="1"/>
        <v>4</v>
      </c>
      <c r="K10" s="37">
        <f t="shared" si="2"/>
        <v>6</v>
      </c>
      <c r="L10" s="37">
        <f t="shared" si="3"/>
        <v>85</v>
      </c>
      <c r="M10" s="37">
        <f t="shared" si="4"/>
        <v>75</v>
      </c>
      <c r="N10" s="37">
        <f t="shared" si="5"/>
        <v>10</v>
      </c>
      <c r="O10" s="38">
        <f>IF(Tabela137[[#This Row],[STRACONE]]=0,0,Tabela137[[#This Row],[ZDOBYTE]]/Tabela137[[#This Row],[STRACONE]])</f>
        <v>1.1333333333333333</v>
      </c>
      <c r="P10" s="39">
        <f t="shared" si="6"/>
        <v>8</v>
      </c>
      <c r="S10" s="47" t="str">
        <f t="shared" si="7"/>
        <v>ORLĘTA RASZYN 3</v>
      </c>
      <c r="T10" s="41">
        <f t="array" ref="T10">SUM((home=S10)*(ISNUMBER(homescore)),(visitor=S10)*(ISNUMBER(visitorscore)))</f>
        <v>10</v>
      </c>
      <c r="U10" s="27">
        <f t="array" ref="U10">SUM((home=S10)*(homescore&gt;visitorscore),(visitor=S10)*(visitorscore&gt;homescore))</f>
        <v>5</v>
      </c>
      <c r="V10" s="27">
        <f t="array" ref="V10">SUM((home=S10)*(homescore&lt;visitorscore),(visitor=S10)*(visitorscore&lt;homescore))</f>
        <v>5</v>
      </c>
      <c r="W10" s="42">
        <f t="shared" ref="W10" si="27">SUMIF(home,S10,homescore)+SUMIF(visitor,S10,visitorscore)</f>
        <v>99</v>
      </c>
      <c r="X10" s="43">
        <f t="shared" ref="X10" si="28">SUMIF(home,S10,visitorscore)+SUMIF(visitor,S10,homescore)</f>
        <v>72</v>
      </c>
      <c r="Y10" s="27">
        <f t="shared" si="12"/>
        <v>27</v>
      </c>
      <c r="Z10" s="44">
        <f t="shared" si="13"/>
        <v>1.375</v>
      </c>
      <c r="AA10" s="42">
        <f t="shared" si="14"/>
        <v>10</v>
      </c>
      <c r="AB10" s="45">
        <f t="shared" si="15"/>
        <v>1000271474</v>
      </c>
      <c r="AC10" s="26">
        <f t="shared" si="16"/>
        <v>7</v>
      </c>
    </row>
    <row r="11" spans="1:29">
      <c r="A11" s="46" t="s">
        <v>86</v>
      </c>
      <c r="H11" s="37" t="str">
        <f>_xlfn.XLOOKUP(9,$AC$3:$AC$13,$S$3:$S$13)</f>
        <v>ISKRA WARSZAWA 1</v>
      </c>
      <c r="I11" s="37">
        <f t="shared" si="0"/>
        <v>10</v>
      </c>
      <c r="J11" s="37">
        <f t="shared" si="1"/>
        <v>2</v>
      </c>
      <c r="K11" s="37">
        <f t="shared" si="2"/>
        <v>8</v>
      </c>
      <c r="L11" s="37">
        <f t="shared" si="3"/>
        <v>22</v>
      </c>
      <c r="M11" s="37">
        <f t="shared" si="4"/>
        <v>88</v>
      </c>
      <c r="N11" s="37">
        <f t="shared" si="5"/>
        <v>-66</v>
      </c>
      <c r="O11" s="38">
        <f>IF(Tabela137[[#This Row],[STRACONE]]=0,0,Tabela137[[#This Row],[ZDOBYTE]]/Tabela137[[#This Row],[STRACONE]])</f>
        <v>0.25</v>
      </c>
      <c r="P11" s="39">
        <f t="shared" si="6"/>
        <v>4</v>
      </c>
      <c r="S11" s="47" t="str">
        <f>A12</f>
        <v>SPARTA GRODZISK MAZ. 7</v>
      </c>
      <c r="T11" s="41">
        <f t="array" ref="T11">SUM((home=S11)*(ISNUMBER(homescore)),(visitor=S11)*(ISNUMBER(visitorscore)))</f>
        <v>10</v>
      </c>
      <c r="U11" s="27">
        <f t="array" ref="U11">SUM((home=S11)*(homescore&gt;visitorscore),(visitor=S11)*(visitorscore&gt;homescore))</f>
        <v>7</v>
      </c>
      <c r="V11" s="27">
        <f t="array" ref="V11">SUM((home=S11)*(homescore&lt;visitorscore),(visitor=S11)*(visitorscore&lt;homescore))</f>
        <v>3</v>
      </c>
      <c r="W11" s="42">
        <f t="shared" ref="W11" si="29">SUMIF(home,S11,homescore)+SUMIF(visitor,S11,visitorscore)</f>
        <v>94</v>
      </c>
      <c r="X11" s="43">
        <f t="shared" ref="X11" si="30">SUMIF(home,S11,visitorscore)+SUMIF(visitor,S11,homescore)</f>
        <v>68</v>
      </c>
      <c r="Y11" s="27">
        <f t="shared" si="12"/>
        <v>26</v>
      </c>
      <c r="Z11" s="44">
        <f t="shared" si="13"/>
        <v>1.3823529411764706</v>
      </c>
      <c r="AA11" s="42">
        <f t="shared" si="14"/>
        <v>14</v>
      </c>
      <c r="AB11" s="45">
        <f t="shared" si="15"/>
        <v>1400261476.3529413</v>
      </c>
      <c r="AC11" s="26">
        <f t="shared" si="16"/>
        <v>5</v>
      </c>
    </row>
    <row r="12" spans="1:29">
      <c r="A12" s="46" t="s">
        <v>87</v>
      </c>
      <c r="H12" s="37" t="str">
        <f>_xlfn.XLOOKUP(10,$AC$3:$AC$13,$S$3:$S$13)</f>
        <v>LEN ŻYRARDÓW 1</v>
      </c>
      <c r="I12" s="37">
        <f t="shared" si="0"/>
        <v>10</v>
      </c>
      <c r="J12" s="37">
        <f t="shared" si="1"/>
        <v>0</v>
      </c>
      <c r="K12" s="37">
        <f t="shared" si="2"/>
        <v>9</v>
      </c>
      <c r="L12" s="37">
        <f t="shared" si="3"/>
        <v>0</v>
      </c>
      <c r="M12" s="37">
        <f t="shared" si="4"/>
        <v>99</v>
      </c>
      <c r="N12" s="37">
        <f t="shared" si="5"/>
        <v>-99</v>
      </c>
      <c r="O12" s="38">
        <f>IF(Tabela137[[#This Row],[STRACONE]]=0,0,Tabela137[[#This Row],[ZDOBYTE]]/Tabela137[[#This Row],[STRACONE]])</f>
        <v>0</v>
      </c>
      <c r="P12" s="39">
        <f t="shared" si="6"/>
        <v>0</v>
      </c>
      <c r="S12" s="48" t="str">
        <f t="shared" ref="S12:S13" si="31">A13</f>
        <v>SPARTA GRODZISK MAZ. 3</v>
      </c>
      <c r="T12" s="41">
        <f t="array" ref="T12">SUM((home=S12)*(ISNUMBER(homescore)),(visitor=S12)*(ISNUMBER(visitorscore)))</f>
        <v>10</v>
      </c>
      <c r="U12" s="27">
        <f t="array" ref="U12">SUM((home=S12)*(homescore&gt;visitorscore),(visitor=S12)*(visitorscore&gt;homescore))</f>
        <v>5</v>
      </c>
      <c r="V12" s="27">
        <f t="array" ref="V12">SUM((home=S12)*(homescore&lt;visitorscore),(visitor=S12)*(visitorscore&lt;homescore))</f>
        <v>5</v>
      </c>
      <c r="W12" s="42">
        <f t="shared" ref="W12" si="32">SUMIF(home,S12,homescore)+SUMIF(visitor,S12,visitorscore)</f>
        <v>99</v>
      </c>
      <c r="X12" s="43">
        <f t="shared" ref="X12" si="33">SUMIF(home,S12,visitorscore)+SUMIF(visitor,S12,homescore)</f>
        <v>68</v>
      </c>
      <c r="Y12" s="27">
        <f>W12-X12</f>
        <v>31</v>
      </c>
      <c r="Z12" s="44">
        <f>IF(X12&gt;0,W12/X12,0)</f>
        <v>1.4558823529411764</v>
      </c>
      <c r="AA12" s="42">
        <f>2*U12</f>
        <v>10</v>
      </c>
      <c r="AB12" s="45">
        <f>W12+Z12*1000+Y12*10000+AA12*100000000</f>
        <v>1000311554.8823529</v>
      </c>
      <c r="AC12" s="26">
        <f t="shared" si="16"/>
        <v>6</v>
      </c>
    </row>
    <row r="13" spans="1:29">
      <c r="A13" s="46" t="s">
        <v>88</v>
      </c>
      <c r="H13" s="37" t="str">
        <f>_xlfn.XLOOKUP(11,$AC$3:$AC$13,$S$3:$S$13)</f>
        <v>RCS RADOM 4</v>
      </c>
      <c r="I13" s="37">
        <f t="shared" si="0"/>
        <v>10</v>
      </c>
      <c r="J13" s="37">
        <f t="shared" si="1"/>
        <v>0</v>
      </c>
      <c r="K13" s="37">
        <f t="shared" si="2"/>
        <v>9</v>
      </c>
      <c r="L13" s="37">
        <f t="shared" si="3"/>
        <v>0</v>
      </c>
      <c r="M13" s="37">
        <f t="shared" si="4"/>
        <v>99</v>
      </c>
      <c r="N13" s="37">
        <f t="shared" si="5"/>
        <v>-99</v>
      </c>
      <c r="O13" s="38">
        <f>IF(Tabela137[[#This Row],[STRACONE]]=0,0,Tabela137[[#This Row],[ZDOBYTE]]/Tabela137[[#This Row],[STRACONE]])</f>
        <v>0</v>
      </c>
      <c r="P13" s="39">
        <f t="shared" si="6"/>
        <v>0</v>
      </c>
      <c r="S13" s="48" t="str">
        <f t="shared" si="31"/>
        <v>LEN ŻYRARDÓW 1</v>
      </c>
      <c r="T13" s="41">
        <f t="array" ref="T13">SUM((home=S13)*(ISNUMBER(homescore)),(visitor=S13)*(ISNUMBER(visitorscore)))</f>
        <v>10</v>
      </c>
      <c r="U13" s="27">
        <f t="array" ref="U13">SUM((home=S13)*(homescore&gt;visitorscore),(visitor=S13)*(visitorscore&gt;homescore))</f>
        <v>0</v>
      </c>
      <c r="V13" s="27">
        <f t="array" ref="V13">SUM((home=S13)*(homescore&lt;visitorscore),(visitor=S13)*(visitorscore&lt;homescore))</f>
        <v>9</v>
      </c>
      <c r="W13" s="42">
        <f t="shared" ref="W13" si="34">SUMIF(home,S13,homescore)+SUMIF(visitor,S13,visitorscore)</f>
        <v>0</v>
      </c>
      <c r="X13" s="43">
        <f t="shared" ref="X13" si="35">SUMIF(home,S13,visitorscore)+SUMIF(visitor,S13,homescore)</f>
        <v>99</v>
      </c>
      <c r="Y13" s="27">
        <f>W13-X13</f>
        <v>-99</v>
      </c>
      <c r="Z13" s="44">
        <f>IF(X13&gt;0,W13/X13,0)</f>
        <v>0</v>
      </c>
      <c r="AA13" s="42">
        <f>2*U13</f>
        <v>0</v>
      </c>
      <c r="AB13" s="45">
        <f>W13+Z13*1000+Y13*10000+AA13*100000000+1</f>
        <v>-989999</v>
      </c>
      <c r="AC13" s="26">
        <f t="shared" si="16"/>
        <v>10</v>
      </c>
    </row>
    <row r="14" spans="1:29">
      <c r="A14" s="46" t="s">
        <v>89</v>
      </c>
    </row>
    <row r="16" spans="1:29">
      <c r="H16"/>
      <c r="I16"/>
      <c r="J16"/>
      <c r="K16"/>
      <c r="L16"/>
      <c r="M16"/>
      <c r="N16"/>
      <c r="O16"/>
      <c r="P16"/>
    </row>
    <row r="17" spans="1:29">
      <c r="A17" s="35" t="s">
        <v>29</v>
      </c>
      <c r="B17" s="35" t="s">
        <v>30</v>
      </c>
      <c r="H17"/>
      <c r="I17"/>
      <c r="J17"/>
      <c r="K17"/>
      <c r="L17"/>
      <c r="M17"/>
      <c r="N17"/>
      <c r="O17"/>
      <c r="P17"/>
    </row>
    <row r="18" spans="1:29">
      <c r="A18" s="20" t="str">
        <f>A5</f>
        <v>GLKS NADARZYN 4</v>
      </c>
      <c r="B18" s="20" t="str">
        <f>A14</f>
        <v>LEN ŻYRARDÓW 1</v>
      </c>
      <c r="C18" s="37">
        <v>11</v>
      </c>
      <c r="D18" s="37" t="s">
        <v>31</v>
      </c>
      <c r="E18" s="37">
        <v>0</v>
      </c>
      <c r="H18"/>
      <c r="I18"/>
      <c r="J18"/>
      <c r="K18"/>
      <c r="L18"/>
      <c r="M18"/>
      <c r="N18"/>
      <c r="O18"/>
      <c r="P18"/>
    </row>
    <row r="19" spans="1:29">
      <c r="A19" s="20" t="str">
        <f>A6</f>
        <v>ISKRA WARSZAWA 3</v>
      </c>
      <c r="B19" s="20" t="str">
        <f>A13</f>
        <v>SPARTA GRODZISK MAZ. 3</v>
      </c>
      <c r="C19" s="37">
        <v>4</v>
      </c>
      <c r="D19" s="37" t="s">
        <v>31</v>
      </c>
      <c r="E19" s="37">
        <v>11</v>
      </c>
      <c r="H19"/>
      <c r="I19"/>
      <c r="J19"/>
      <c r="K19"/>
      <c r="L19"/>
      <c r="M19"/>
      <c r="N19"/>
      <c r="O19"/>
      <c r="P19"/>
    </row>
    <row r="20" spans="1:29">
      <c r="A20" s="20" t="str">
        <f>A7</f>
        <v>UKS LESZNOWOLA 3</v>
      </c>
      <c r="B20" s="20" t="str">
        <f>A12</f>
        <v>SPARTA GRODZISK MAZ. 7</v>
      </c>
      <c r="C20" s="37">
        <v>11</v>
      </c>
      <c r="D20" s="37" t="s">
        <v>31</v>
      </c>
      <c r="E20" s="37">
        <v>2</v>
      </c>
      <c r="F20" s="27"/>
      <c r="H20"/>
      <c r="I20"/>
      <c r="J20"/>
      <c r="K20"/>
      <c r="L20"/>
      <c r="M20"/>
      <c r="N20"/>
      <c r="O20"/>
      <c r="P20"/>
    </row>
    <row r="21" spans="1:29">
      <c r="A21" s="20" t="str">
        <f>A8</f>
        <v>ISKRA WARSZAWA 1</v>
      </c>
      <c r="B21" s="20" t="str">
        <f>A11</f>
        <v>ORLĘTA RASZYN 3</v>
      </c>
      <c r="C21" s="37">
        <v>0</v>
      </c>
      <c r="D21" s="37" t="s">
        <v>31</v>
      </c>
      <c r="E21" s="37">
        <v>11</v>
      </c>
      <c r="F21" s="27"/>
      <c r="H21"/>
      <c r="I21"/>
      <c r="J21"/>
      <c r="K21"/>
      <c r="L21"/>
      <c r="M21"/>
      <c r="N21"/>
      <c r="O21"/>
      <c r="P21"/>
    </row>
    <row r="22" spans="1:29">
      <c r="A22" s="20" t="str">
        <f>A9</f>
        <v>UKS LESZNOWOLA 6</v>
      </c>
      <c r="B22" s="20" t="str">
        <f>A10</f>
        <v>ISKRA WARSZAWA 2</v>
      </c>
      <c r="C22" s="37">
        <v>2</v>
      </c>
      <c r="D22" s="37" t="s">
        <v>31</v>
      </c>
      <c r="E22" s="37">
        <v>11</v>
      </c>
      <c r="F22" s="27"/>
      <c r="H22"/>
      <c r="I22"/>
      <c r="J22"/>
      <c r="K22"/>
      <c r="L22"/>
      <c r="M22"/>
      <c r="N22"/>
      <c r="O22"/>
      <c r="P22"/>
    </row>
    <row r="23" spans="1:29">
      <c r="A23" s="20" t="str">
        <f>A11</f>
        <v>ORLĘTA RASZYN 3</v>
      </c>
      <c r="B23" s="20" t="str">
        <f>A9</f>
        <v>UKS LESZNOWOLA 6</v>
      </c>
      <c r="C23" s="37">
        <v>8</v>
      </c>
      <c r="D23" s="37" t="s">
        <v>31</v>
      </c>
      <c r="E23" s="37">
        <v>11</v>
      </c>
      <c r="F23" s="27"/>
      <c r="H23"/>
      <c r="I23"/>
      <c r="J23"/>
      <c r="K23"/>
      <c r="L23"/>
      <c r="M23"/>
      <c r="N23"/>
      <c r="O23"/>
      <c r="P23"/>
    </row>
    <row r="24" spans="1:29">
      <c r="A24" s="20" t="str">
        <f>A12</f>
        <v>SPARTA GRODZISK MAZ. 7</v>
      </c>
      <c r="B24" s="20" t="str">
        <f>A8</f>
        <v>ISKRA WARSZAWA 1</v>
      </c>
      <c r="C24" s="37">
        <v>11</v>
      </c>
      <c r="D24" s="37" t="s">
        <v>31</v>
      </c>
      <c r="E24" s="37">
        <v>0</v>
      </c>
      <c r="F24" s="27"/>
      <c r="H24"/>
      <c r="I24"/>
      <c r="J24"/>
      <c r="K24"/>
      <c r="L24"/>
      <c r="M24"/>
      <c r="N24"/>
      <c r="O24"/>
      <c r="P24"/>
    </row>
    <row r="25" spans="1:29">
      <c r="A25" s="20" t="str">
        <f>A13</f>
        <v>SPARTA GRODZISK MAZ. 3</v>
      </c>
      <c r="B25" s="20" t="str">
        <f>A7</f>
        <v>UKS LESZNOWOLA 3</v>
      </c>
      <c r="C25" s="37">
        <v>10</v>
      </c>
      <c r="D25" s="37" t="s">
        <v>31</v>
      </c>
      <c r="E25" s="37">
        <v>11</v>
      </c>
      <c r="F25" s="27" t="s">
        <v>32</v>
      </c>
      <c r="H25"/>
      <c r="I25"/>
      <c r="J25"/>
      <c r="K25"/>
      <c r="L25"/>
      <c r="M25"/>
      <c r="N25"/>
      <c r="O25"/>
      <c r="P25"/>
    </row>
    <row r="26" spans="1:29" s="27" customFormat="1">
      <c r="A26" s="20" t="str">
        <f>A14</f>
        <v>LEN ŻYRARDÓW 1</v>
      </c>
      <c r="B26" s="20" t="str">
        <f>A6</f>
        <v>ISKRA WARSZAWA 3</v>
      </c>
      <c r="C26" s="37">
        <v>0</v>
      </c>
      <c r="D26" s="37" t="s">
        <v>31</v>
      </c>
      <c r="E26" s="37">
        <v>11</v>
      </c>
      <c r="H26"/>
      <c r="I26"/>
      <c r="J26"/>
      <c r="K26"/>
      <c r="L26"/>
      <c r="M26"/>
      <c r="N26"/>
      <c r="O26"/>
      <c r="P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s="27" customFormat="1">
      <c r="A27" s="20" t="str">
        <f>A4</f>
        <v>RCS RADOM 4</v>
      </c>
      <c r="B27" s="20" t="str">
        <f>A5</f>
        <v>GLKS NADARZYN 4</v>
      </c>
      <c r="C27" s="37">
        <v>0</v>
      </c>
      <c r="D27" s="37" t="s">
        <v>31</v>
      </c>
      <c r="E27" s="37">
        <v>11</v>
      </c>
      <c r="F27" s="26"/>
      <c r="H27"/>
      <c r="I27"/>
      <c r="J27"/>
      <c r="K27"/>
      <c r="L27"/>
      <c r="M27"/>
      <c r="N27"/>
      <c r="O27"/>
      <c r="P2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s="27" customFormat="1">
      <c r="A28" s="20" t="str">
        <f>A6</f>
        <v>ISKRA WARSZAWA 3</v>
      </c>
      <c r="B28" s="20" t="str">
        <f>A4</f>
        <v>RCS RADOM 4</v>
      </c>
      <c r="C28" s="37">
        <v>11</v>
      </c>
      <c r="D28" s="37" t="s">
        <v>31</v>
      </c>
      <c r="E28" s="37">
        <v>0</v>
      </c>
      <c r="F28" s="26"/>
      <c r="H28"/>
      <c r="I28"/>
      <c r="J28"/>
      <c r="K28"/>
      <c r="L28"/>
      <c r="M28"/>
      <c r="N28"/>
      <c r="O28"/>
      <c r="P28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s="27" customFormat="1">
      <c r="A29" s="20" t="str">
        <f>A7</f>
        <v>UKS LESZNOWOLA 3</v>
      </c>
      <c r="B29" s="20" t="str">
        <f>A14</f>
        <v>LEN ŻYRARDÓW 1</v>
      </c>
      <c r="C29" s="37">
        <v>11</v>
      </c>
      <c r="D29" s="37" t="s">
        <v>31</v>
      </c>
      <c r="E29" s="37">
        <v>0</v>
      </c>
      <c r="F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s="27" customFormat="1">
      <c r="A30" s="20" t="str">
        <f>A8</f>
        <v>ISKRA WARSZAWA 1</v>
      </c>
      <c r="B30" s="20" t="str">
        <f>A13</f>
        <v>SPARTA GRODZISK MAZ. 3</v>
      </c>
      <c r="C30" s="37">
        <v>0</v>
      </c>
      <c r="D30" s="37" t="s">
        <v>31</v>
      </c>
      <c r="E30" s="37">
        <v>11</v>
      </c>
      <c r="F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s="27" customFormat="1">
      <c r="A31" s="20" t="str">
        <f>A9</f>
        <v>UKS LESZNOWOLA 6</v>
      </c>
      <c r="B31" s="20" t="str">
        <f>A12</f>
        <v>SPARTA GRODZISK MAZ. 7</v>
      </c>
      <c r="C31" s="37">
        <v>11</v>
      </c>
      <c r="D31" s="37" t="s">
        <v>31</v>
      </c>
      <c r="E31" s="37">
        <v>6</v>
      </c>
      <c r="F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>
      <c r="A32" s="20" t="str">
        <f>A10</f>
        <v>ISKRA WARSZAWA 2</v>
      </c>
      <c r="B32" s="20" t="str">
        <f>A11</f>
        <v>ORLĘTA RASZYN 3</v>
      </c>
      <c r="C32" s="37">
        <v>11</v>
      </c>
      <c r="D32" s="37" t="s">
        <v>31</v>
      </c>
      <c r="E32" s="37">
        <v>8</v>
      </c>
    </row>
    <row r="33" spans="1:5">
      <c r="A33" s="20" t="str">
        <f>A12</f>
        <v>SPARTA GRODZISK MAZ. 7</v>
      </c>
      <c r="B33" s="20" t="str">
        <f>A10</f>
        <v>ISKRA WARSZAWA 2</v>
      </c>
      <c r="C33" s="37">
        <v>11</v>
      </c>
      <c r="D33" s="37" t="s">
        <v>31</v>
      </c>
      <c r="E33" s="37">
        <v>10</v>
      </c>
    </row>
    <row r="34" spans="1:5">
      <c r="A34" s="20" t="str">
        <f>A13</f>
        <v>SPARTA GRODZISK MAZ. 3</v>
      </c>
      <c r="B34" s="20" t="str">
        <f>A9</f>
        <v>UKS LESZNOWOLA 6</v>
      </c>
      <c r="C34" s="37">
        <v>8</v>
      </c>
      <c r="D34" s="37" t="s">
        <v>31</v>
      </c>
      <c r="E34" s="37">
        <v>11</v>
      </c>
    </row>
    <row r="35" spans="1:5">
      <c r="A35" s="20" t="str">
        <f>A14</f>
        <v>LEN ŻYRARDÓW 1</v>
      </c>
      <c r="B35" s="20" t="str">
        <f>A8</f>
        <v>ISKRA WARSZAWA 1</v>
      </c>
      <c r="C35" s="37">
        <v>0</v>
      </c>
      <c r="D35" s="37" t="s">
        <v>31</v>
      </c>
      <c r="E35" s="37">
        <v>11</v>
      </c>
    </row>
    <row r="36" spans="1:5">
      <c r="A36" s="20" t="str">
        <f>A4</f>
        <v>RCS RADOM 4</v>
      </c>
      <c r="B36" s="20" t="str">
        <f>A7</f>
        <v>UKS LESZNOWOLA 3</v>
      </c>
      <c r="C36" s="37">
        <v>0</v>
      </c>
      <c r="D36" s="37" t="s">
        <v>31</v>
      </c>
      <c r="E36" s="37">
        <v>11</v>
      </c>
    </row>
    <row r="37" spans="1:5">
      <c r="A37" s="20" t="str">
        <f>A5</f>
        <v>GLKS NADARZYN 4</v>
      </c>
      <c r="B37" s="20" t="str">
        <f>A6</f>
        <v>ISKRA WARSZAWA 3</v>
      </c>
      <c r="C37" s="37">
        <v>5</v>
      </c>
      <c r="D37" s="37" t="s">
        <v>31</v>
      </c>
      <c r="E37" s="37">
        <v>11</v>
      </c>
    </row>
    <row r="38" spans="1:5">
      <c r="A38" s="20" t="str">
        <f>A7</f>
        <v>UKS LESZNOWOLA 3</v>
      </c>
      <c r="B38" s="20" t="str">
        <f>A5</f>
        <v>GLKS NADARZYN 4</v>
      </c>
      <c r="C38" s="37">
        <v>11</v>
      </c>
      <c r="D38" s="37" t="s">
        <v>31</v>
      </c>
      <c r="E38" s="37">
        <v>6</v>
      </c>
    </row>
    <row r="39" spans="1:5">
      <c r="A39" s="20" t="str">
        <f>A8</f>
        <v>ISKRA WARSZAWA 1</v>
      </c>
      <c r="B39" s="20" t="str">
        <f>A4</f>
        <v>RCS RADOM 4</v>
      </c>
      <c r="C39" s="37">
        <v>11</v>
      </c>
      <c r="D39" s="37" t="s">
        <v>31</v>
      </c>
      <c r="E39" s="37">
        <v>0</v>
      </c>
    </row>
    <row r="40" spans="1:5">
      <c r="A40" s="20" t="str">
        <f t="shared" ref="A40" si="36">A7</f>
        <v>UKS LESZNOWOLA 3</v>
      </c>
      <c r="B40" s="20" t="str">
        <f>A5</f>
        <v>GLKS NADARZYN 4</v>
      </c>
      <c r="C40" s="37"/>
      <c r="D40" s="37" t="s">
        <v>31</v>
      </c>
      <c r="E40" s="37"/>
    </row>
    <row r="41" spans="1:5">
      <c r="A41" s="20" t="str">
        <f>A9</f>
        <v>UKS LESZNOWOLA 6</v>
      </c>
      <c r="B41" s="20" t="str">
        <f>A14</f>
        <v>LEN ŻYRARDÓW 1</v>
      </c>
      <c r="C41" s="37">
        <v>11</v>
      </c>
      <c r="D41" s="37" t="s">
        <v>31</v>
      </c>
      <c r="E41" s="37">
        <v>0</v>
      </c>
    </row>
    <row r="42" spans="1:5">
      <c r="A42" s="20" t="str">
        <f>A10</f>
        <v>ISKRA WARSZAWA 2</v>
      </c>
      <c r="B42" s="20" t="str">
        <f>A13</f>
        <v>SPARTA GRODZISK MAZ. 3</v>
      </c>
      <c r="C42" s="37">
        <v>11</v>
      </c>
      <c r="D42" s="37" t="s">
        <v>31</v>
      </c>
      <c r="E42" s="37">
        <v>10</v>
      </c>
    </row>
    <row r="43" spans="1:5">
      <c r="A43" s="20" t="str">
        <f>A11</f>
        <v>ORLĘTA RASZYN 3</v>
      </c>
      <c r="B43" s="20" t="str">
        <f>A12</f>
        <v>SPARTA GRODZISK MAZ. 7</v>
      </c>
      <c r="C43" s="37">
        <v>9</v>
      </c>
      <c r="D43" s="37" t="s">
        <v>31</v>
      </c>
      <c r="E43" s="37">
        <v>11</v>
      </c>
    </row>
    <row r="44" spans="1:5">
      <c r="A44" s="20" t="str">
        <f>A13</f>
        <v>SPARTA GRODZISK MAZ. 3</v>
      </c>
      <c r="B44" s="20" t="str">
        <f>A11</f>
        <v>ORLĘTA RASZYN 3</v>
      </c>
      <c r="C44" s="37">
        <v>7</v>
      </c>
      <c r="D44" s="37" t="s">
        <v>31</v>
      </c>
      <c r="E44" s="37">
        <v>11</v>
      </c>
    </row>
    <row r="45" spans="1:5">
      <c r="A45" s="20" t="str">
        <f>A14</f>
        <v>LEN ŻYRARDÓW 1</v>
      </c>
      <c r="B45" s="20" t="str">
        <f>A10</f>
        <v>ISKRA WARSZAWA 2</v>
      </c>
      <c r="C45" s="37">
        <v>0</v>
      </c>
      <c r="D45" s="37" t="s">
        <v>31</v>
      </c>
      <c r="E45" s="37">
        <v>11</v>
      </c>
    </row>
    <row r="46" spans="1:5">
      <c r="A46" s="20" t="str">
        <f>A4</f>
        <v>RCS RADOM 4</v>
      </c>
      <c r="B46" s="20" t="str">
        <f>A9</f>
        <v>UKS LESZNOWOLA 6</v>
      </c>
      <c r="C46" s="37">
        <v>0</v>
      </c>
      <c r="D46" s="37" t="s">
        <v>31</v>
      </c>
      <c r="E46" s="37">
        <v>11</v>
      </c>
    </row>
    <row r="47" spans="1:5">
      <c r="A47" s="20" t="str">
        <f t="shared" ref="A47:A51" si="37">A5</f>
        <v>GLKS NADARZYN 4</v>
      </c>
      <c r="B47" s="20" t="str">
        <f>A8</f>
        <v>ISKRA WARSZAWA 1</v>
      </c>
      <c r="C47" s="37">
        <v>11</v>
      </c>
      <c r="D47" s="37" t="s">
        <v>31</v>
      </c>
      <c r="E47" s="37">
        <v>0</v>
      </c>
    </row>
    <row r="48" spans="1:5">
      <c r="A48" s="20" t="str">
        <f t="shared" si="37"/>
        <v>ISKRA WARSZAWA 3</v>
      </c>
      <c r="B48" s="20" t="str">
        <f>A7</f>
        <v>UKS LESZNOWOLA 3</v>
      </c>
      <c r="C48" s="37">
        <v>11</v>
      </c>
      <c r="D48" s="37" t="s">
        <v>31</v>
      </c>
      <c r="E48" s="37">
        <v>7</v>
      </c>
    </row>
    <row r="49" spans="1:5">
      <c r="A49" s="20" t="str">
        <f>A8</f>
        <v>ISKRA WARSZAWA 1</v>
      </c>
      <c r="B49" s="20" t="str">
        <f>A6</f>
        <v>ISKRA WARSZAWA 3</v>
      </c>
      <c r="C49" s="37">
        <v>0</v>
      </c>
      <c r="D49" s="37" t="s">
        <v>31</v>
      </c>
      <c r="E49" s="37">
        <v>11</v>
      </c>
    </row>
    <row r="50" spans="1:5">
      <c r="A50" s="20" t="str">
        <f>A9</f>
        <v>UKS LESZNOWOLA 6</v>
      </c>
      <c r="B50" s="20" t="str">
        <f>A5</f>
        <v>GLKS NADARZYN 4</v>
      </c>
      <c r="C50" s="37">
        <v>11</v>
      </c>
      <c r="D50" s="37" t="s">
        <v>31</v>
      </c>
      <c r="E50" s="37">
        <v>7</v>
      </c>
    </row>
    <row r="51" spans="1:5">
      <c r="A51" s="20" t="str">
        <f t="shared" si="37"/>
        <v>UKS LESZNOWOLA 6</v>
      </c>
      <c r="B51" s="20" t="str">
        <f>A5</f>
        <v>GLKS NADARZYN 4</v>
      </c>
      <c r="C51" s="37"/>
      <c r="D51" s="37" t="s">
        <v>31</v>
      </c>
      <c r="E51" s="37"/>
    </row>
    <row r="52" spans="1:5">
      <c r="A52" s="20" t="str">
        <f>A10</f>
        <v>ISKRA WARSZAWA 2</v>
      </c>
      <c r="B52" s="20" t="str">
        <f>A4</f>
        <v>RCS RADOM 4</v>
      </c>
      <c r="C52" s="37">
        <v>11</v>
      </c>
      <c r="D52" s="37" t="s">
        <v>31</v>
      </c>
      <c r="E52" s="37">
        <v>0</v>
      </c>
    </row>
    <row r="53" spans="1:5">
      <c r="A53" s="20" t="str">
        <f>A11</f>
        <v>ORLĘTA RASZYN 3</v>
      </c>
      <c r="B53" s="20" t="str">
        <f>A14</f>
        <v>LEN ŻYRARDÓW 1</v>
      </c>
      <c r="C53" s="37">
        <v>11</v>
      </c>
      <c r="D53" s="37" t="s">
        <v>31</v>
      </c>
      <c r="E53" s="37">
        <v>0</v>
      </c>
    </row>
    <row r="54" spans="1:5">
      <c r="A54" s="20" t="str">
        <f>A12</f>
        <v>SPARTA GRODZISK MAZ. 7</v>
      </c>
      <c r="B54" s="20" t="str">
        <f>A13</f>
        <v>SPARTA GRODZISK MAZ. 3</v>
      </c>
      <c r="C54" s="37">
        <v>9</v>
      </c>
      <c r="D54" s="37" t="s">
        <v>31</v>
      </c>
      <c r="E54" s="37">
        <v>11</v>
      </c>
    </row>
    <row r="55" spans="1:5">
      <c r="A55" s="20" t="str">
        <f>A14</f>
        <v>LEN ŻYRARDÓW 1</v>
      </c>
      <c r="B55" s="20" t="str">
        <f>A12</f>
        <v>SPARTA GRODZISK MAZ. 7</v>
      </c>
      <c r="C55" s="37">
        <v>0</v>
      </c>
      <c r="D55" s="37" t="s">
        <v>31</v>
      </c>
      <c r="E55" s="37">
        <v>11</v>
      </c>
    </row>
    <row r="56" spans="1:5">
      <c r="A56" s="20" t="str">
        <f>A4</f>
        <v>RCS RADOM 4</v>
      </c>
      <c r="B56" s="20" t="str">
        <f>A11</f>
        <v>ORLĘTA RASZYN 3</v>
      </c>
      <c r="C56" s="37">
        <v>0</v>
      </c>
      <c r="D56" s="37" t="s">
        <v>31</v>
      </c>
      <c r="E56" s="37">
        <v>11</v>
      </c>
    </row>
    <row r="57" spans="1:5">
      <c r="A57" s="20" t="str">
        <f t="shared" ref="A57:A61" si="38">A6</f>
        <v>ISKRA WARSZAWA 3</v>
      </c>
      <c r="B57" s="20" t="str">
        <f>A9</f>
        <v>UKS LESZNOWOLA 6</v>
      </c>
      <c r="C57" s="37">
        <v>10</v>
      </c>
      <c r="D57" s="37" t="s">
        <v>31</v>
      </c>
      <c r="E57" s="37">
        <v>11</v>
      </c>
    </row>
    <row r="58" spans="1:5">
      <c r="A58" s="20" t="str">
        <f>A5</f>
        <v>GLKS NADARZYN 4</v>
      </c>
      <c r="B58" s="20" t="str">
        <f>A10</f>
        <v>ISKRA WARSZAWA 2</v>
      </c>
      <c r="C58" s="37">
        <v>3</v>
      </c>
      <c r="D58" s="37" t="s">
        <v>31</v>
      </c>
      <c r="E58" s="37">
        <v>11</v>
      </c>
    </row>
    <row r="59" spans="1:5">
      <c r="A59" s="20" t="str">
        <f>A6</f>
        <v>ISKRA WARSZAWA 3</v>
      </c>
      <c r="B59" s="20" t="str">
        <f>A9</f>
        <v>UKS LESZNOWOLA 6</v>
      </c>
      <c r="C59" s="37"/>
      <c r="D59" s="37" t="s">
        <v>31</v>
      </c>
      <c r="E59" s="37"/>
    </row>
    <row r="60" spans="1:5">
      <c r="A60" s="20" t="str">
        <f>A7</f>
        <v>UKS LESZNOWOLA 3</v>
      </c>
      <c r="B60" s="20" t="str">
        <f>A8</f>
        <v>ISKRA WARSZAWA 1</v>
      </c>
      <c r="C60" s="37">
        <v>11</v>
      </c>
      <c r="D60" s="37" t="s">
        <v>31</v>
      </c>
      <c r="E60" s="37">
        <v>0</v>
      </c>
    </row>
    <row r="61" spans="1:5">
      <c r="A61" s="20" t="str">
        <f t="shared" si="38"/>
        <v>ISKRA WARSZAWA 2</v>
      </c>
      <c r="B61" s="20" t="str">
        <f>A6</f>
        <v>ISKRA WARSZAWA 3</v>
      </c>
      <c r="C61" s="37">
        <v>1</v>
      </c>
      <c r="D61" s="37" t="s">
        <v>31</v>
      </c>
      <c r="E61" s="37">
        <v>11</v>
      </c>
    </row>
    <row r="62" spans="1:5">
      <c r="A62" s="20" t="str">
        <f>A9</f>
        <v>UKS LESZNOWOLA 6</v>
      </c>
      <c r="B62" s="20" t="str">
        <f>A7</f>
        <v>UKS LESZNOWOLA 3</v>
      </c>
      <c r="C62" s="37">
        <v>11</v>
      </c>
      <c r="D62" s="37" t="s">
        <v>31</v>
      </c>
      <c r="E62" s="37">
        <v>8</v>
      </c>
    </row>
    <row r="63" spans="1:5">
      <c r="A63" s="20" t="str">
        <f>A10</f>
        <v>ISKRA WARSZAWA 2</v>
      </c>
      <c r="B63" s="20" t="str">
        <f>A6</f>
        <v>ISKRA WARSZAWA 3</v>
      </c>
      <c r="C63" s="37"/>
      <c r="D63" s="37" t="s">
        <v>31</v>
      </c>
      <c r="E63" s="37"/>
    </row>
    <row r="64" spans="1:5">
      <c r="A64" s="20" t="str">
        <f>A11</f>
        <v>ORLĘTA RASZYN 3</v>
      </c>
      <c r="B64" s="20" t="str">
        <f>A5</f>
        <v>GLKS NADARZYN 4</v>
      </c>
      <c r="C64" s="37">
        <v>11</v>
      </c>
      <c r="D64" s="37" t="s">
        <v>31</v>
      </c>
      <c r="E64" s="37">
        <v>10</v>
      </c>
    </row>
    <row r="65" spans="1:5">
      <c r="A65" s="20" t="str">
        <f>A12</f>
        <v>SPARTA GRODZISK MAZ. 7</v>
      </c>
      <c r="B65" s="20" t="str">
        <f>A4</f>
        <v>RCS RADOM 4</v>
      </c>
      <c r="C65" s="37">
        <v>11</v>
      </c>
      <c r="D65" s="37" t="s">
        <v>31</v>
      </c>
      <c r="E65" s="37">
        <v>0</v>
      </c>
    </row>
    <row r="66" spans="1:5">
      <c r="A66" s="20" t="str">
        <f>A13</f>
        <v>SPARTA GRODZISK MAZ. 3</v>
      </c>
      <c r="B66" s="20" t="str">
        <f>A14</f>
        <v>LEN ŻYRARDÓW 1</v>
      </c>
      <c r="C66" s="37">
        <v>11</v>
      </c>
      <c r="D66" s="37" t="s">
        <v>31</v>
      </c>
      <c r="E66" s="37">
        <v>0</v>
      </c>
    </row>
    <row r="67" spans="1:5">
      <c r="A67" s="20" t="str">
        <f>A4</f>
        <v>RCS RADOM 4</v>
      </c>
      <c r="B67" s="20" t="str">
        <f>A13</f>
        <v>SPARTA GRODZISK MAZ. 3</v>
      </c>
      <c r="C67" s="37">
        <v>0</v>
      </c>
      <c r="D67" s="37" t="s">
        <v>31</v>
      </c>
      <c r="E67" s="37">
        <v>11</v>
      </c>
    </row>
    <row r="68" spans="1:5">
      <c r="A68" s="20" t="str">
        <f>A5</f>
        <v>GLKS NADARZYN 4</v>
      </c>
      <c r="B68" s="20" t="str">
        <f>A12</f>
        <v>SPARTA GRODZISK MAZ. 7</v>
      </c>
      <c r="C68" s="37">
        <v>10</v>
      </c>
      <c r="D68" s="37" t="s">
        <v>31</v>
      </c>
      <c r="E68" s="37">
        <v>11</v>
      </c>
    </row>
    <row r="69" spans="1:5">
      <c r="A69" s="20" t="str">
        <f>A6</f>
        <v>ISKRA WARSZAWA 3</v>
      </c>
      <c r="B69" s="20" t="str">
        <f>A11</f>
        <v>ORLĘTA RASZYN 3</v>
      </c>
      <c r="C69" s="37">
        <v>11</v>
      </c>
      <c r="D69" s="37" t="s">
        <v>31</v>
      </c>
      <c r="E69" s="37">
        <v>9</v>
      </c>
    </row>
    <row r="70" spans="1:5">
      <c r="A70" s="20" t="str">
        <f>A7</f>
        <v>UKS LESZNOWOLA 3</v>
      </c>
      <c r="B70" s="20" t="str">
        <f>A10</f>
        <v>ISKRA WARSZAWA 2</v>
      </c>
      <c r="C70" s="37">
        <v>11</v>
      </c>
      <c r="D70" s="37" t="s">
        <v>31</v>
      </c>
      <c r="E70" s="37">
        <v>10</v>
      </c>
    </row>
    <row r="71" spans="1:5">
      <c r="A71" s="20" t="str">
        <f>A8</f>
        <v>ISKRA WARSZAWA 1</v>
      </c>
      <c r="B71" s="20" t="str">
        <f>A9</f>
        <v>UKS LESZNOWOLA 6</v>
      </c>
      <c r="C71" s="37">
        <v>0</v>
      </c>
      <c r="D71" s="37" t="s">
        <v>31</v>
      </c>
      <c r="E71" s="37">
        <v>11</v>
      </c>
    </row>
    <row r="72" spans="1:5">
      <c r="A72" s="20" t="str">
        <f>A10</f>
        <v>ISKRA WARSZAWA 2</v>
      </c>
      <c r="B72" s="20" t="str">
        <f>A8</f>
        <v>ISKRA WARSZAWA 1</v>
      </c>
      <c r="C72" s="37">
        <v>11</v>
      </c>
      <c r="D72" s="37" t="s">
        <v>31</v>
      </c>
      <c r="E72" s="37">
        <v>0</v>
      </c>
    </row>
    <row r="73" spans="1:5">
      <c r="A73" s="20" t="str">
        <f>A11</f>
        <v>ORLĘTA RASZYN 3</v>
      </c>
      <c r="B73" s="20" t="str">
        <f>A7</f>
        <v>UKS LESZNOWOLA 3</v>
      </c>
      <c r="C73" s="37">
        <v>10</v>
      </c>
      <c r="D73" s="37" t="s">
        <v>31</v>
      </c>
      <c r="E73" s="37">
        <v>11</v>
      </c>
    </row>
    <row r="74" spans="1:5">
      <c r="A74" s="20" t="str">
        <f>A12</f>
        <v>SPARTA GRODZISK MAZ. 7</v>
      </c>
      <c r="B74" s="20" t="str">
        <f>A6</f>
        <v>ISKRA WARSZAWA 3</v>
      </c>
      <c r="C74" s="37">
        <v>11</v>
      </c>
      <c r="D74" s="37" t="s">
        <v>31</v>
      </c>
      <c r="E74" s="37">
        <v>6</v>
      </c>
    </row>
    <row r="75" spans="1:5">
      <c r="A75" s="20" t="str">
        <f>A13</f>
        <v>SPARTA GRODZISK MAZ. 3</v>
      </c>
      <c r="B75" s="20" t="str">
        <f>A5</f>
        <v>GLKS NADARZYN 4</v>
      </c>
      <c r="C75" s="37">
        <v>9</v>
      </c>
      <c r="D75" s="37" t="s">
        <v>31</v>
      </c>
      <c r="E75" s="37">
        <v>11</v>
      </c>
    </row>
    <row r="76" spans="1:5">
      <c r="A76" s="20" t="str">
        <f>A14</f>
        <v>LEN ŻYRARDÓW 1</v>
      </c>
      <c r="B76" s="20" t="str">
        <f>A4</f>
        <v>RCS RADOM 4</v>
      </c>
      <c r="C76" s="37">
        <v>0</v>
      </c>
      <c r="D76" s="37" t="s">
        <v>31</v>
      </c>
      <c r="E76" s="37">
        <v>0</v>
      </c>
    </row>
  </sheetData>
  <autoFilter ref="A17:B76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D279-63DC-4F5E-93BA-A7B2059A27A3}">
  <sheetPr>
    <pageSetUpPr fitToPage="1"/>
  </sheetPr>
  <dimension ref="A1:AC76"/>
  <sheetViews>
    <sheetView topLeftCell="A52" workbookViewId="0">
      <selection activeCell="A63" sqref="A63"/>
    </sheetView>
  </sheetViews>
  <sheetFormatPr defaultColWidth="8.85546875" defaultRowHeight="15"/>
  <cols>
    <col min="1" max="2" width="24" style="26" bestFit="1" customWidth="1"/>
    <col min="3" max="5" width="3.85546875" style="26" customWidth="1"/>
    <col min="6" max="6" width="8.28515625" style="26" customWidth="1"/>
    <col min="7" max="7" width="8.28515625" style="27" customWidth="1"/>
    <col min="8" max="8" width="15.7109375" style="27" customWidth="1"/>
    <col min="9" max="9" width="11.7109375" style="27" customWidth="1"/>
    <col min="10" max="16" width="11.7109375" style="26" customWidth="1"/>
    <col min="17" max="17" width="11.42578125" style="26" customWidth="1"/>
    <col min="18" max="18" width="8.85546875" style="26" customWidth="1"/>
    <col min="19" max="19" width="10.42578125" style="26" bestFit="1" customWidth="1"/>
    <col min="20" max="26" width="9.140625" style="26" customWidth="1"/>
    <col min="27" max="27" width="7" style="26" customWidth="1"/>
    <col min="28" max="28" width="9.140625" style="26" customWidth="1"/>
    <col min="29" max="29" width="8.85546875" style="26" customWidth="1"/>
    <col min="30" max="16384" width="8.85546875" style="26"/>
  </cols>
  <sheetData>
    <row r="1" spans="1:29" ht="28.5">
      <c r="A1" s="25" t="s">
        <v>90</v>
      </c>
      <c r="S1" s="26" t="s">
        <v>1</v>
      </c>
      <c r="T1" s="26" t="b">
        <f>ROWS(homescore)-COUNT(homescore)=0</f>
        <v>0</v>
      </c>
    </row>
    <row r="2" spans="1:29">
      <c r="H2" s="28" t="s">
        <v>2</v>
      </c>
      <c r="I2" s="29" t="s">
        <v>3</v>
      </c>
      <c r="J2" s="29" t="s">
        <v>4</v>
      </c>
      <c r="K2" s="29" t="s">
        <v>5</v>
      </c>
      <c r="L2" s="29" t="s">
        <v>6</v>
      </c>
      <c r="M2" s="29" t="s">
        <v>7</v>
      </c>
      <c r="N2" s="29" t="s">
        <v>8</v>
      </c>
      <c r="O2" s="30" t="s">
        <v>9</v>
      </c>
      <c r="P2" s="30" t="s">
        <v>10</v>
      </c>
      <c r="T2" s="31" t="s">
        <v>3</v>
      </c>
      <c r="U2" s="32" t="s">
        <v>11</v>
      </c>
      <c r="V2" s="32" t="s">
        <v>12</v>
      </c>
      <c r="W2" s="33" t="s">
        <v>13</v>
      </c>
      <c r="X2" s="28" t="s">
        <v>14</v>
      </c>
      <c r="Y2" s="32" t="s">
        <v>15</v>
      </c>
      <c r="Z2" s="34" t="s">
        <v>16</v>
      </c>
      <c r="AA2" s="33" t="s">
        <v>12</v>
      </c>
      <c r="AB2" s="33" t="s">
        <v>17</v>
      </c>
      <c r="AC2" s="26" t="s">
        <v>18</v>
      </c>
    </row>
    <row r="3" spans="1:29">
      <c r="A3" s="35" t="s">
        <v>2</v>
      </c>
      <c r="B3" s="36"/>
      <c r="H3" s="37" t="str">
        <f>_xlfn.XLOOKUP(1,$AC$3:$AC$13,$S$3:$S$13)</f>
        <v>VOLLEY RADZIEJOWICE 11</v>
      </c>
      <c r="I3" s="37">
        <f t="shared" ref="I3:I13" si="0">VLOOKUP($H3,$S$3:$AA$13,2,0)</f>
        <v>10</v>
      </c>
      <c r="J3" s="37">
        <f t="shared" ref="J3:J13" si="1">VLOOKUP($H3,$S$3:$AA$13,3,0)</f>
        <v>9</v>
      </c>
      <c r="K3" s="37">
        <f t="shared" ref="K3:K13" si="2">VLOOKUP($H3,$S$3:$AA$13,4,0)</f>
        <v>1</v>
      </c>
      <c r="L3" s="37">
        <f t="shared" ref="L3:L13" si="3">VLOOKUP($H3,$S$3:$AA$13,5,0)</f>
        <v>104</v>
      </c>
      <c r="M3" s="37">
        <f t="shared" ref="M3:M13" si="4">VLOOKUP($H3,$S$3:$AA$13,6,0)</f>
        <v>71</v>
      </c>
      <c r="N3" s="37">
        <f t="shared" ref="N3:N13" si="5">VLOOKUP($H3,$S$3:$AA$13,7,0)</f>
        <v>33</v>
      </c>
      <c r="O3" s="38">
        <f>IF(Tabela1378[[#This Row],[STRACONE]]=0,0,Tabela1378[[#This Row],[ZDOBYTE]]/Tabela1378[[#This Row],[STRACONE]])</f>
        <v>1.4647887323943662</v>
      </c>
      <c r="P3" s="39">
        <f t="shared" ref="P3:P13" si="6">VLOOKUP($H3,$S$3:$AB$13,9,0)</f>
        <v>18</v>
      </c>
      <c r="S3" s="40" t="str">
        <f t="shared" ref="S3:S10" si="7">A4</f>
        <v>GLKS NADARZYN 1</v>
      </c>
      <c r="T3" s="41">
        <f t="array" ref="T3">SUM((home=S3)*(ISNUMBER(homescore)),(visitor=S3)*(ISNUMBER(visitorscore)))</f>
        <v>10</v>
      </c>
      <c r="U3" s="27">
        <f t="array" ref="U3">SUM((home=S3)*(homescore&gt;visitorscore),(visitor=S3)*(visitorscore&gt;homescore))</f>
        <v>0</v>
      </c>
      <c r="V3" s="27">
        <f t="array" ref="V3">SUM((home=S3)*(homescore&lt;visitorscore),(visitor=S3)*(visitorscore&lt;homescore))</f>
        <v>10</v>
      </c>
      <c r="W3" s="42">
        <f t="shared" ref="W3" si="8">SUMIF(home,S3,homescore)+SUMIF(visitor,S3,visitorscore)</f>
        <v>61</v>
      </c>
      <c r="X3" s="43">
        <f t="shared" ref="X3" si="9">SUMIF(home,S3,visitorscore)+SUMIF(visitor,S3,homescore)</f>
        <v>110</v>
      </c>
      <c r="Y3" s="27">
        <f>W3-X3</f>
        <v>-49</v>
      </c>
      <c r="Z3" s="44">
        <f>IF(X3&gt;0,W3/X3,0)</f>
        <v>0.55454545454545456</v>
      </c>
      <c r="AA3" s="42">
        <f>2*U3</f>
        <v>0</v>
      </c>
      <c r="AB3" s="45">
        <f>W3+Z3*1000+Y3*10000+AA3*100000000</f>
        <v>-489384.45454545453</v>
      </c>
      <c r="AC3" s="26">
        <f>RANK(AB3,$AB$3:$AB$13)</f>
        <v>11</v>
      </c>
    </row>
    <row r="4" spans="1:29">
      <c r="A4" s="46" t="s">
        <v>91</v>
      </c>
      <c r="H4" s="37" t="str">
        <f>_xlfn.XLOOKUP(2,$AC$3:$AC$13,$S$3:$S$13)</f>
        <v>SPARTA GRODZISK MAZ. 8</v>
      </c>
      <c r="I4" s="37">
        <f t="shared" si="0"/>
        <v>11</v>
      </c>
      <c r="J4" s="37">
        <f t="shared" si="1"/>
        <v>8</v>
      </c>
      <c r="K4" s="37">
        <f t="shared" si="2"/>
        <v>2</v>
      </c>
      <c r="L4" s="37">
        <f t="shared" si="3"/>
        <v>100</v>
      </c>
      <c r="M4" s="37">
        <f t="shared" si="4"/>
        <v>63</v>
      </c>
      <c r="N4" s="37">
        <f t="shared" si="5"/>
        <v>37</v>
      </c>
      <c r="O4" s="38">
        <f>IF(Tabela1378[[#This Row],[STRACONE]]=0,0,Tabela1378[[#This Row],[ZDOBYTE]]/Tabela1378[[#This Row],[STRACONE]])</f>
        <v>1.5873015873015872</v>
      </c>
      <c r="P4" s="39">
        <f t="shared" si="6"/>
        <v>16</v>
      </c>
      <c r="S4" s="47" t="str">
        <f t="shared" si="7"/>
        <v>SPARTA GRODZISK MAZ. 8</v>
      </c>
      <c r="T4" s="41">
        <f t="array" ref="T4">SUM((home=S4)*(ISNUMBER(homescore)),(visitor=S4)*(ISNUMBER(visitorscore)))</f>
        <v>11</v>
      </c>
      <c r="U4" s="27">
        <f t="array" ref="U4">SUM((home=S4)*(homescore&gt;visitorscore),(visitor=S4)*(visitorscore&gt;homescore))</f>
        <v>8</v>
      </c>
      <c r="V4" s="27">
        <f t="array" ref="V4">SUM((home=S4)*(homescore&lt;visitorscore),(visitor=S4)*(visitorscore&lt;homescore))</f>
        <v>2</v>
      </c>
      <c r="W4" s="42">
        <f t="shared" ref="W4" si="10">SUMIF(home,S4,homescore)+SUMIF(visitor,S4,visitorscore)</f>
        <v>100</v>
      </c>
      <c r="X4" s="43">
        <f t="shared" ref="X4" si="11">SUMIF(home,S4,visitorscore)+SUMIF(visitor,S4,homescore)</f>
        <v>63</v>
      </c>
      <c r="Y4" s="27">
        <f t="shared" ref="Y4:Y11" si="12">W4-X4</f>
        <v>37</v>
      </c>
      <c r="Z4" s="44">
        <f t="shared" ref="Z4:Z11" si="13">IF(X4&gt;0,W4/X4,0)</f>
        <v>1.5873015873015872</v>
      </c>
      <c r="AA4" s="42">
        <f t="shared" ref="AA4:AA11" si="14">2*U4</f>
        <v>16</v>
      </c>
      <c r="AB4" s="45">
        <f t="shared" ref="AB4:AB11" si="15">W4+Z4*1000+Y4*10000+AA4*100000000</f>
        <v>1600371687.3015873</v>
      </c>
      <c r="AC4" s="26">
        <f t="shared" ref="AC4:AC13" si="16">RANK(AB4,$AB$3:$AB$13)</f>
        <v>2</v>
      </c>
    </row>
    <row r="5" spans="1:29">
      <c r="A5" s="46" t="s">
        <v>92</v>
      </c>
      <c r="H5" s="37" t="str">
        <f>_xlfn.XLOOKUP(3,$AC$3:$AC$13,$S$3:$S$13)</f>
        <v>VOLLEY RADZIEJOWICE 9</v>
      </c>
      <c r="I5" s="37">
        <f t="shared" si="0"/>
        <v>10</v>
      </c>
      <c r="J5" s="37">
        <f t="shared" si="1"/>
        <v>6</v>
      </c>
      <c r="K5" s="37">
        <f t="shared" si="2"/>
        <v>4</v>
      </c>
      <c r="L5" s="37">
        <f t="shared" si="3"/>
        <v>94</v>
      </c>
      <c r="M5" s="37">
        <f t="shared" si="4"/>
        <v>67</v>
      </c>
      <c r="N5" s="37">
        <f t="shared" si="5"/>
        <v>27</v>
      </c>
      <c r="O5" s="38">
        <f>IF(Tabela1378[[#This Row],[STRACONE]]=0,0,Tabela1378[[#This Row],[ZDOBYTE]]/Tabela1378[[#This Row],[STRACONE]])</f>
        <v>1.4029850746268657</v>
      </c>
      <c r="P5" s="39">
        <f t="shared" si="6"/>
        <v>12</v>
      </c>
      <c r="S5" s="47" t="str">
        <f t="shared" si="7"/>
        <v>GLKS NADARZYN 8</v>
      </c>
      <c r="T5" s="41">
        <f t="array" ref="T5">SUM((home=S5)*(ISNUMBER(homescore)),(visitor=S5)*(ISNUMBER(visitorscore)))</f>
        <v>10</v>
      </c>
      <c r="U5" s="27">
        <f t="array" ref="U5">SUM((home=S5)*(homescore&gt;visitorscore),(visitor=S5)*(visitorscore&gt;homescore))</f>
        <v>4</v>
      </c>
      <c r="V5" s="27">
        <f t="array" ref="V5">SUM((home=S5)*(homescore&lt;visitorscore),(visitor=S5)*(visitorscore&lt;homescore))</f>
        <v>6</v>
      </c>
      <c r="W5" s="42">
        <f t="shared" ref="W5" si="17">SUMIF(home,S5,homescore)+SUMIF(visitor,S5,visitorscore)</f>
        <v>74</v>
      </c>
      <c r="X5" s="43">
        <f t="shared" ref="X5" si="18">SUMIF(home,S5,visitorscore)+SUMIF(visitor,S5,homescore)</f>
        <v>100</v>
      </c>
      <c r="Y5" s="27">
        <f t="shared" si="12"/>
        <v>-26</v>
      </c>
      <c r="Z5" s="44">
        <f t="shared" si="13"/>
        <v>0.74</v>
      </c>
      <c r="AA5" s="42">
        <f t="shared" si="14"/>
        <v>8</v>
      </c>
      <c r="AB5" s="45">
        <f t="shared" si="15"/>
        <v>799740814</v>
      </c>
      <c r="AC5" s="26">
        <f t="shared" si="16"/>
        <v>9</v>
      </c>
    </row>
    <row r="6" spans="1:29">
      <c r="A6" s="46" t="s">
        <v>93</v>
      </c>
      <c r="H6" s="37" t="str">
        <f>_xlfn.XLOOKUP(4,$AC$3:$AC$13,$S$3:$S$13)</f>
        <v>SPARTA GRODZISK MAZ. 5</v>
      </c>
      <c r="I6" s="37">
        <f t="shared" si="0"/>
        <v>10</v>
      </c>
      <c r="J6" s="37">
        <f t="shared" si="1"/>
        <v>6</v>
      </c>
      <c r="K6" s="37">
        <f t="shared" si="2"/>
        <v>4</v>
      </c>
      <c r="L6" s="37">
        <f t="shared" si="3"/>
        <v>92</v>
      </c>
      <c r="M6" s="37">
        <f t="shared" si="4"/>
        <v>72</v>
      </c>
      <c r="N6" s="37">
        <f t="shared" si="5"/>
        <v>20</v>
      </c>
      <c r="O6" s="38">
        <f>IF(Tabela1378[[#This Row],[STRACONE]]=0,0,Tabela1378[[#This Row],[ZDOBYTE]]/Tabela1378[[#This Row],[STRACONE]])</f>
        <v>1.2777777777777777</v>
      </c>
      <c r="P6" s="39">
        <f t="shared" si="6"/>
        <v>12</v>
      </c>
      <c r="S6" s="47" t="str">
        <f t="shared" si="7"/>
        <v>GLKS NADARZYN 6</v>
      </c>
      <c r="T6" s="41">
        <f t="array" ref="T6">SUM((home=S6)*(ISNUMBER(homescore)),(visitor=S6)*(ISNUMBER(visitorscore)))</f>
        <v>11</v>
      </c>
      <c r="U6" s="27">
        <f t="array" ref="U6">SUM((home=S6)*(homescore&gt;visitorscore),(visitor=S6)*(visitorscore&gt;homescore))</f>
        <v>4</v>
      </c>
      <c r="V6" s="27">
        <f t="array" ref="V6">SUM((home=S6)*(homescore&lt;visitorscore),(visitor=S6)*(visitorscore&lt;homescore))</f>
        <v>6</v>
      </c>
      <c r="W6" s="42">
        <f t="shared" ref="W6" si="19">SUMIF(home,S6,homescore)+SUMIF(visitor,S6,visitorscore)</f>
        <v>86</v>
      </c>
      <c r="X6" s="43">
        <f t="shared" ref="X6" si="20">SUMIF(home,S6,visitorscore)+SUMIF(visitor,S6,homescore)</f>
        <v>97</v>
      </c>
      <c r="Y6" s="27">
        <f t="shared" si="12"/>
        <v>-11</v>
      </c>
      <c r="Z6" s="44">
        <f t="shared" si="13"/>
        <v>0.88659793814432986</v>
      </c>
      <c r="AA6" s="42">
        <f t="shared" si="14"/>
        <v>8</v>
      </c>
      <c r="AB6" s="45">
        <f t="shared" si="15"/>
        <v>799890972.59793818</v>
      </c>
      <c r="AC6" s="26">
        <f t="shared" si="16"/>
        <v>8</v>
      </c>
    </row>
    <row r="7" spans="1:29">
      <c r="A7" s="46" t="s">
        <v>94</v>
      </c>
      <c r="H7" s="37" t="str">
        <f>_xlfn.XLOOKUP(5,$AC$3:$AC$13,$S$3:$S$13)</f>
        <v>ISKRA WARSZAWA 8</v>
      </c>
      <c r="I7" s="37">
        <f t="shared" si="0"/>
        <v>10</v>
      </c>
      <c r="J7" s="37">
        <f t="shared" si="1"/>
        <v>6</v>
      </c>
      <c r="K7" s="37">
        <f t="shared" si="2"/>
        <v>4</v>
      </c>
      <c r="L7" s="37">
        <f t="shared" si="3"/>
        <v>93</v>
      </c>
      <c r="M7" s="37">
        <f t="shared" si="4"/>
        <v>79</v>
      </c>
      <c r="N7" s="37">
        <f t="shared" si="5"/>
        <v>14</v>
      </c>
      <c r="O7" s="38">
        <f>IF(Tabela1378[[#This Row],[STRACONE]]=0,0,Tabela1378[[#This Row],[ZDOBYTE]]/Tabela1378[[#This Row],[STRACONE]])</f>
        <v>1.1772151898734178</v>
      </c>
      <c r="P7" s="39">
        <f t="shared" si="6"/>
        <v>12</v>
      </c>
      <c r="S7" s="47" t="str">
        <f t="shared" si="7"/>
        <v>GLKS NADARZYN 9</v>
      </c>
      <c r="T7" s="41">
        <f t="array" ref="T7">SUM((home=S7)*(ISNUMBER(homescore)),(visitor=S7)*(ISNUMBER(visitorscore)))</f>
        <v>10</v>
      </c>
      <c r="U7" s="27">
        <f t="array" ref="U7">SUM((home=S7)*(homescore&gt;visitorscore),(visitor=S7)*(visitorscore&gt;homescore))</f>
        <v>1</v>
      </c>
      <c r="V7" s="27">
        <f t="array" ref="V7">SUM((home=S7)*(homescore&lt;visitorscore),(visitor=S7)*(visitorscore&lt;homescore))</f>
        <v>9</v>
      </c>
      <c r="W7" s="42">
        <f t="shared" ref="W7" si="21">SUMIF(home,S7,homescore)+SUMIF(visitor,S7,visitorscore)</f>
        <v>44</v>
      </c>
      <c r="X7" s="43">
        <f t="shared" ref="X7" si="22">SUMIF(home,S7,visitorscore)+SUMIF(visitor,S7,homescore)</f>
        <v>104</v>
      </c>
      <c r="Y7" s="27">
        <f t="shared" si="12"/>
        <v>-60</v>
      </c>
      <c r="Z7" s="44">
        <f t="shared" si="13"/>
        <v>0.42307692307692307</v>
      </c>
      <c r="AA7" s="42">
        <f t="shared" si="14"/>
        <v>2</v>
      </c>
      <c r="AB7" s="45">
        <f t="shared" si="15"/>
        <v>199400467.07692307</v>
      </c>
      <c r="AC7" s="26">
        <f t="shared" si="16"/>
        <v>10</v>
      </c>
    </row>
    <row r="8" spans="1:29">
      <c r="A8" s="46" t="s">
        <v>95</v>
      </c>
      <c r="H8" s="37" t="str">
        <f>_xlfn.XLOOKUP(6,$AC$3:$AC$13,$S$3:$S$13)</f>
        <v>GLKS NADARZYN 3</v>
      </c>
      <c r="I8" s="37">
        <f t="shared" si="0"/>
        <v>10</v>
      </c>
      <c r="J8" s="37">
        <f t="shared" si="1"/>
        <v>6</v>
      </c>
      <c r="K8" s="37">
        <f t="shared" si="2"/>
        <v>4</v>
      </c>
      <c r="L8" s="37">
        <f t="shared" si="3"/>
        <v>94</v>
      </c>
      <c r="M8" s="37">
        <f t="shared" si="4"/>
        <v>82</v>
      </c>
      <c r="N8" s="37">
        <f t="shared" si="5"/>
        <v>12</v>
      </c>
      <c r="O8" s="38">
        <f>IF(Tabela1378[[#This Row],[STRACONE]]=0,0,Tabela1378[[#This Row],[ZDOBYTE]]/Tabela1378[[#This Row],[STRACONE]])</f>
        <v>1.1463414634146341</v>
      </c>
      <c r="P8" s="39">
        <f t="shared" si="6"/>
        <v>12</v>
      </c>
      <c r="S8" s="47" t="str">
        <f t="shared" si="7"/>
        <v>SPARTA GRODZISK MAZ. 5</v>
      </c>
      <c r="T8" s="41">
        <f t="array" ref="T8">SUM((home=S8)*(ISNUMBER(homescore)),(visitor=S8)*(ISNUMBER(visitorscore)))</f>
        <v>10</v>
      </c>
      <c r="U8" s="27">
        <f t="array" ref="U8">SUM((home=S8)*(homescore&gt;visitorscore),(visitor=S8)*(visitorscore&gt;homescore))</f>
        <v>6</v>
      </c>
      <c r="V8" s="27">
        <f t="array" ref="V8">SUM((home=S8)*(homescore&lt;visitorscore),(visitor=S8)*(visitorscore&lt;homescore))</f>
        <v>4</v>
      </c>
      <c r="W8" s="42">
        <f t="shared" ref="W8" si="23">SUMIF(home,S8,homescore)+SUMIF(visitor,S8,visitorscore)</f>
        <v>92</v>
      </c>
      <c r="X8" s="43">
        <f t="shared" ref="X8" si="24">SUMIF(home,S8,visitorscore)+SUMIF(visitor,S8,homescore)</f>
        <v>72</v>
      </c>
      <c r="Y8" s="27">
        <f t="shared" si="12"/>
        <v>20</v>
      </c>
      <c r="Z8" s="44">
        <f t="shared" si="13"/>
        <v>1.2777777777777777</v>
      </c>
      <c r="AA8" s="42">
        <f t="shared" si="14"/>
        <v>12</v>
      </c>
      <c r="AB8" s="45">
        <f t="shared" si="15"/>
        <v>1200201369.7777777</v>
      </c>
      <c r="AC8" s="26">
        <f t="shared" si="16"/>
        <v>4</v>
      </c>
    </row>
    <row r="9" spans="1:29">
      <c r="A9" s="46" t="s">
        <v>96</v>
      </c>
      <c r="H9" s="37" t="str">
        <f>_xlfn.XLOOKUP(7,$AC$3:$AC$13,$S$3:$S$13)</f>
        <v>GLKS NADARZYN 2</v>
      </c>
      <c r="I9" s="37">
        <f t="shared" si="0"/>
        <v>10</v>
      </c>
      <c r="J9" s="37">
        <f t="shared" si="1"/>
        <v>5</v>
      </c>
      <c r="K9" s="37">
        <f t="shared" si="2"/>
        <v>5</v>
      </c>
      <c r="L9" s="37">
        <f t="shared" si="3"/>
        <v>85</v>
      </c>
      <c r="M9" s="37">
        <f t="shared" si="4"/>
        <v>82</v>
      </c>
      <c r="N9" s="37">
        <f t="shared" si="5"/>
        <v>3</v>
      </c>
      <c r="O9" s="38">
        <f>IF(Tabela1378[[#This Row],[STRACONE]]=0,0,Tabela1378[[#This Row],[ZDOBYTE]]/Tabela1378[[#This Row],[STRACONE]])</f>
        <v>1.0365853658536586</v>
      </c>
      <c r="P9" s="39">
        <f t="shared" si="6"/>
        <v>10</v>
      </c>
      <c r="S9" s="47" t="str">
        <f t="shared" si="7"/>
        <v>VOLLEY RADZIEJOWICE 11</v>
      </c>
      <c r="T9" s="41">
        <f t="array" ref="T9">SUM((home=S9)*(ISNUMBER(homescore)),(visitor=S9)*(ISNUMBER(visitorscore)))</f>
        <v>10</v>
      </c>
      <c r="U9" s="27">
        <f t="array" ref="U9">SUM((home=S9)*(homescore&gt;visitorscore),(visitor=S9)*(visitorscore&gt;homescore))</f>
        <v>9</v>
      </c>
      <c r="V9" s="27">
        <f t="array" ref="V9">SUM((home=S9)*(homescore&lt;visitorscore),(visitor=S9)*(visitorscore&lt;homescore))</f>
        <v>1</v>
      </c>
      <c r="W9" s="42">
        <f t="shared" ref="W9" si="25">SUMIF(home,S9,homescore)+SUMIF(visitor,S9,visitorscore)</f>
        <v>104</v>
      </c>
      <c r="X9" s="43">
        <f t="shared" ref="X9" si="26">SUMIF(home,S9,visitorscore)+SUMIF(visitor,S9,homescore)</f>
        <v>71</v>
      </c>
      <c r="Y9" s="27">
        <f t="shared" si="12"/>
        <v>33</v>
      </c>
      <c r="Z9" s="44">
        <f t="shared" si="13"/>
        <v>1.4647887323943662</v>
      </c>
      <c r="AA9" s="42">
        <f t="shared" si="14"/>
        <v>18</v>
      </c>
      <c r="AB9" s="45">
        <f t="shared" si="15"/>
        <v>1800331568.7887323</v>
      </c>
      <c r="AC9" s="26">
        <f t="shared" si="16"/>
        <v>1</v>
      </c>
    </row>
    <row r="10" spans="1:29">
      <c r="A10" s="46" t="s">
        <v>97</v>
      </c>
      <c r="H10" s="37" t="str">
        <f>_xlfn.XLOOKUP(8,$AC$3:$AC$13,$S$3:$S$13)</f>
        <v>GLKS NADARZYN 6</v>
      </c>
      <c r="I10" s="37">
        <f t="shared" si="0"/>
        <v>11</v>
      </c>
      <c r="J10" s="37">
        <f t="shared" si="1"/>
        <v>4</v>
      </c>
      <c r="K10" s="37">
        <f t="shared" si="2"/>
        <v>6</v>
      </c>
      <c r="L10" s="37">
        <f t="shared" si="3"/>
        <v>86</v>
      </c>
      <c r="M10" s="37">
        <f t="shared" si="4"/>
        <v>97</v>
      </c>
      <c r="N10" s="37">
        <f t="shared" si="5"/>
        <v>-11</v>
      </c>
      <c r="O10" s="38">
        <f>IF(Tabela1378[[#This Row],[STRACONE]]=0,0,Tabela1378[[#This Row],[ZDOBYTE]]/Tabela1378[[#This Row],[STRACONE]])</f>
        <v>0.88659793814432986</v>
      </c>
      <c r="P10" s="39">
        <f t="shared" si="6"/>
        <v>8</v>
      </c>
      <c r="S10" s="47" t="str">
        <f t="shared" si="7"/>
        <v>GLKS NADARZYN 2</v>
      </c>
      <c r="T10" s="41">
        <f t="array" ref="T10">SUM((home=S10)*(ISNUMBER(homescore)),(visitor=S10)*(ISNUMBER(visitorscore)))</f>
        <v>10</v>
      </c>
      <c r="U10" s="27">
        <f t="array" ref="U10">SUM((home=S10)*(homescore&gt;visitorscore),(visitor=S10)*(visitorscore&gt;homescore))</f>
        <v>5</v>
      </c>
      <c r="V10" s="27">
        <f t="array" ref="V10">SUM((home=S10)*(homescore&lt;visitorscore),(visitor=S10)*(visitorscore&lt;homescore))</f>
        <v>5</v>
      </c>
      <c r="W10" s="42">
        <f t="shared" ref="W10" si="27">SUMIF(home,S10,homescore)+SUMIF(visitor,S10,visitorscore)</f>
        <v>85</v>
      </c>
      <c r="X10" s="43">
        <f t="shared" ref="X10" si="28">SUMIF(home,S10,visitorscore)+SUMIF(visitor,S10,homescore)</f>
        <v>82</v>
      </c>
      <c r="Y10" s="27">
        <f t="shared" si="12"/>
        <v>3</v>
      </c>
      <c r="Z10" s="44">
        <f t="shared" si="13"/>
        <v>1.0365853658536586</v>
      </c>
      <c r="AA10" s="42">
        <f t="shared" si="14"/>
        <v>10</v>
      </c>
      <c r="AB10" s="45">
        <f t="shared" si="15"/>
        <v>1000031121.5853659</v>
      </c>
      <c r="AC10" s="26">
        <f t="shared" si="16"/>
        <v>7</v>
      </c>
    </row>
    <row r="11" spans="1:29">
      <c r="A11" s="46" t="s">
        <v>98</v>
      </c>
      <c r="H11" s="37" t="str">
        <f>_xlfn.XLOOKUP(9,$AC$3:$AC$13,$S$3:$S$13)</f>
        <v>GLKS NADARZYN 8</v>
      </c>
      <c r="I11" s="37">
        <f t="shared" si="0"/>
        <v>10</v>
      </c>
      <c r="J11" s="37">
        <f t="shared" si="1"/>
        <v>4</v>
      </c>
      <c r="K11" s="37">
        <f t="shared" si="2"/>
        <v>6</v>
      </c>
      <c r="L11" s="37">
        <f t="shared" si="3"/>
        <v>74</v>
      </c>
      <c r="M11" s="37">
        <f t="shared" si="4"/>
        <v>100</v>
      </c>
      <c r="N11" s="37">
        <f t="shared" si="5"/>
        <v>-26</v>
      </c>
      <c r="O11" s="38">
        <f>IF(Tabela1378[[#This Row],[STRACONE]]=0,0,Tabela1378[[#This Row],[ZDOBYTE]]/Tabela1378[[#This Row],[STRACONE]])</f>
        <v>0.74</v>
      </c>
      <c r="P11" s="39">
        <f t="shared" si="6"/>
        <v>8</v>
      </c>
      <c r="S11" s="47" t="str">
        <f>A12</f>
        <v>VOLLEY RADZIEJOWICE 9</v>
      </c>
      <c r="T11" s="41">
        <f t="array" ref="T11">SUM((home=S11)*(ISNUMBER(homescore)),(visitor=S11)*(ISNUMBER(visitorscore)))</f>
        <v>10</v>
      </c>
      <c r="U11" s="27">
        <f t="array" ref="U11">SUM((home=S11)*(homescore&gt;visitorscore),(visitor=S11)*(visitorscore&gt;homescore))</f>
        <v>6</v>
      </c>
      <c r="V11" s="27">
        <f t="array" ref="V11">SUM((home=S11)*(homescore&lt;visitorscore),(visitor=S11)*(visitorscore&lt;homescore))</f>
        <v>4</v>
      </c>
      <c r="W11" s="42">
        <f t="shared" ref="W11" si="29">SUMIF(home,S11,homescore)+SUMIF(visitor,S11,visitorscore)</f>
        <v>94</v>
      </c>
      <c r="X11" s="43">
        <f t="shared" ref="X11" si="30">SUMIF(home,S11,visitorscore)+SUMIF(visitor,S11,homescore)</f>
        <v>67</v>
      </c>
      <c r="Y11" s="27">
        <f t="shared" si="12"/>
        <v>27</v>
      </c>
      <c r="Z11" s="44">
        <f t="shared" si="13"/>
        <v>1.4029850746268657</v>
      </c>
      <c r="AA11" s="42">
        <f t="shared" si="14"/>
        <v>12</v>
      </c>
      <c r="AB11" s="45">
        <f t="shared" si="15"/>
        <v>1200271496.9850745</v>
      </c>
      <c r="AC11" s="26">
        <f t="shared" si="16"/>
        <v>3</v>
      </c>
    </row>
    <row r="12" spans="1:29">
      <c r="A12" s="46" t="s">
        <v>99</v>
      </c>
      <c r="H12" s="37" t="str">
        <f>_xlfn.XLOOKUP(10,$AC$3:$AC$13,$S$3:$S$13)</f>
        <v>GLKS NADARZYN 9</v>
      </c>
      <c r="I12" s="37">
        <f t="shared" si="0"/>
        <v>10</v>
      </c>
      <c r="J12" s="37">
        <f t="shared" si="1"/>
        <v>1</v>
      </c>
      <c r="K12" s="37">
        <f t="shared" si="2"/>
        <v>9</v>
      </c>
      <c r="L12" s="37">
        <f t="shared" si="3"/>
        <v>44</v>
      </c>
      <c r="M12" s="37">
        <f t="shared" si="4"/>
        <v>104</v>
      </c>
      <c r="N12" s="37">
        <f t="shared" si="5"/>
        <v>-60</v>
      </c>
      <c r="O12" s="38">
        <f>IF(Tabela1378[[#This Row],[STRACONE]]=0,0,Tabela1378[[#This Row],[ZDOBYTE]]/Tabela1378[[#This Row],[STRACONE]])</f>
        <v>0.42307692307692307</v>
      </c>
      <c r="P12" s="39">
        <f t="shared" si="6"/>
        <v>2</v>
      </c>
      <c r="S12" s="48" t="str">
        <f t="shared" ref="S12:S13" si="31">A13</f>
        <v>GLKS NADARZYN 3</v>
      </c>
      <c r="T12" s="41">
        <f t="array" ref="T12">SUM((home=S12)*(ISNUMBER(homescore)),(visitor=S12)*(ISNUMBER(visitorscore)))</f>
        <v>10</v>
      </c>
      <c r="U12" s="27">
        <f t="array" ref="U12">SUM((home=S12)*(homescore&gt;visitorscore),(visitor=S12)*(visitorscore&gt;homescore))</f>
        <v>6</v>
      </c>
      <c r="V12" s="27">
        <f t="array" ref="V12">SUM((home=S12)*(homescore&lt;visitorscore),(visitor=S12)*(visitorscore&lt;homescore))</f>
        <v>4</v>
      </c>
      <c r="W12" s="42">
        <f t="shared" ref="W12" si="32">SUMIF(home,S12,homescore)+SUMIF(visitor,S12,visitorscore)</f>
        <v>94</v>
      </c>
      <c r="X12" s="43">
        <f t="shared" ref="X12" si="33">SUMIF(home,S12,visitorscore)+SUMIF(visitor,S12,homescore)</f>
        <v>82</v>
      </c>
      <c r="Y12" s="27">
        <f>W12-X12</f>
        <v>12</v>
      </c>
      <c r="Z12" s="44">
        <f>IF(X12&gt;0,W12/X12,0)</f>
        <v>1.1463414634146341</v>
      </c>
      <c r="AA12" s="42">
        <f>2*U12</f>
        <v>12</v>
      </c>
      <c r="AB12" s="45">
        <f>W12+Z12*1000+Y12*10000+AA12*100000000</f>
        <v>1200121240.3414633</v>
      </c>
      <c r="AC12" s="26">
        <f t="shared" si="16"/>
        <v>6</v>
      </c>
    </row>
    <row r="13" spans="1:29">
      <c r="A13" s="46" t="s">
        <v>100</v>
      </c>
      <c r="H13" s="37" t="str">
        <f>_xlfn.XLOOKUP(11,$AC$3:$AC$13,$S$3:$S$13)</f>
        <v>GLKS NADARZYN 1</v>
      </c>
      <c r="I13" s="37">
        <f t="shared" si="0"/>
        <v>10</v>
      </c>
      <c r="J13" s="37">
        <f t="shared" si="1"/>
        <v>0</v>
      </c>
      <c r="K13" s="37">
        <f t="shared" si="2"/>
        <v>10</v>
      </c>
      <c r="L13" s="37">
        <f t="shared" si="3"/>
        <v>61</v>
      </c>
      <c r="M13" s="37">
        <f t="shared" si="4"/>
        <v>110</v>
      </c>
      <c r="N13" s="37">
        <f t="shared" si="5"/>
        <v>-49</v>
      </c>
      <c r="O13" s="38">
        <f>IF(Tabela1378[[#This Row],[STRACONE]]=0,0,Tabela1378[[#This Row],[ZDOBYTE]]/Tabela1378[[#This Row],[STRACONE]])</f>
        <v>0.55454545454545456</v>
      </c>
      <c r="P13" s="39">
        <f t="shared" si="6"/>
        <v>0</v>
      </c>
      <c r="S13" s="48" t="str">
        <f t="shared" si="31"/>
        <v>ISKRA WARSZAWA 8</v>
      </c>
      <c r="T13" s="41">
        <f t="array" ref="T13">SUM((home=S13)*(ISNUMBER(homescore)),(visitor=S13)*(ISNUMBER(visitorscore)))</f>
        <v>10</v>
      </c>
      <c r="U13" s="27">
        <f t="array" ref="U13">SUM((home=S13)*(homescore&gt;visitorscore),(visitor=S13)*(visitorscore&gt;homescore))</f>
        <v>6</v>
      </c>
      <c r="V13" s="27">
        <f t="array" ref="V13">SUM((home=S13)*(homescore&lt;visitorscore),(visitor=S13)*(visitorscore&lt;homescore))</f>
        <v>4</v>
      </c>
      <c r="W13" s="42">
        <f t="shared" ref="W13" si="34">SUMIF(home,S13,homescore)+SUMIF(visitor,S13,visitorscore)</f>
        <v>93</v>
      </c>
      <c r="X13" s="43">
        <f t="shared" ref="X13" si="35">SUMIF(home,S13,visitorscore)+SUMIF(visitor,S13,homescore)</f>
        <v>79</v>
      </c>
      <c r="Y13" s="27">
        <f>W13-X13</f>
        <v>14</v>
      </c>
      <c r="Z13" s="44">
        <f>IF(X13&gt;0,W13/X13,0)</f>
        <v>1.1772151898734178</v>
      </c>
      <c r="AA13" s="42">
        <f>2*U13</f>
        <v>12</v>
      </c>
      <c r="AB13" s="45">
        <f>W13+Z13*1000+Y13*10000+AA13*100000000</f>
        <v>1200141270.2151899</v>
      </c>
      <c r="AC13" s="26">
        <f t="shared" si="16"/>
        <v>5</v>
      </c>
    </row>
    <row r="14" spans="1:29">
      <c r="A14" s="46" t="s">
        <v>101</v>
      </c>
    </row>
    <row r="16" spans="1:29">
      <c r="H16"/>
      <c r="I16"/>
      <c r="J16"/>
      <c r="K16"/>
      <c r="L16"/>
      <c r="M16"/>
      <c r="N16"/>
      <c r="O16"/>
      <c r="P16"/>
    </row>
    <row r="17" spans="1:29">
      <c r="A17" s="35" t="s">
        <v>29</v>
      </c>
      <c r="B17" s="35" t="s">
        <v>30</v>
      </c>
      <c r="H17"/>
      <c r="I17"/>
      <c r="J17"/>
      <c r="K17"/>
      <c r="L17"/>
      <c r="M17"/>
      <c r="N17"/>
      <c r="O17"/>
      <c r="P17"/>
    </row>
    <row r="18" spans="1:29">
      <c r="A18" s="20" t="str">
        <f>A5</f>
        <v>SPARTA GRODZISK MAZ. 8</v>
      </c>
      <c r="B18" s="20" t="str">
        <f>A14</f>
        <v>ISKRA WARSZAWA 8</v>
      </c>
      <c r="C18" s="37">
        <v>11</v>
      </c>
      <c r="D18" s="37" t="s">
        <v>31</v>
      </c>
      <c r="E18" s="37">
        <v>7</v>
      </c>
      <c r="H18"/>
      <c r="I18"/>
      <c r="J18"/>
      <c r="K18"/>
      <c r="L18"/>
      <c r="M18"/>
      <c r="N18"/>
      <c r="O18"/>
      <c r="P18"/>
    </row>
    <row r="19" spans="1:29">
      <c r="A19" s="20" t="str">
        <f>A6</f>
        <v>GLKS NADARZYN 8</v>
      </c>
      <c r="B19" s="20" t="str">
        <f>A13</f>
        <v>GLKS NADARZYN 3</v>
      </c>
      <c r="C19" s="37">
        <v>11</v>
      </c>
      <c r="D19" s="37" t="s">
        <v>31</v>
      </c>
      <c r="E19" s="37">
        <v>8</v>
      </c>
      <c r="H19"/>
      <c r="I19"/>
      <c r="J19"/>
      <c r="K19"/>
      <c r="L19"/>
      <c r="M19"/>
      <c r="N19"/>
      <c r="O19"/>
      <c r="P19"/>
    </row>
    <row r="20" spans="1:29">
      <c r="A20" s="20" t="str">
        <f>A7</f>
        <v>GLKS NADARZYN 6</v>
      </c>
      <c r="B20" s="20" t="str">
        <f>A12</f>
        <v>VOLLEY RADZIEJOWICE 9</v>
      </c>
      <c r="C20" s="37">
        <v>7</v>
      </c>
      <c r="D20" s="37" t="s">
        <v>31</v>
      </c>
      <c r="E20" s="37">
        <v>11</v>
      </c>
      <c r="F20" s="27"/>
      <c r="H20"/>
      <c r="I20"/>
      <c r="J20"/>
      <c r="K20"/>
      <c r="L20"/>
      <c r="M20"/>
      <c r="N20"/>
      <c r="O20"/>
      <c r="P20"/>
    </row>
    <row r="21" spans="1:29">
      <c r="A21" s="20" t="str">
        <f>A8</f>
        <v>GLKS NADARZYN 9</v>
      </c>
      <c r="B21" s="20" t="str">
        <f>A11</f>
        <v>GLKS NADARZYN 2</v>
      </c>
      <c r="C21" s="37">
        <v>5</v>
      </c>
      <c r="D21" s="37" t="s">
        <v>31</v>
      </c>
      <c r="E21" s="37">
        <v>11</v>
      </c>
      <c r="F21" s="27"/>
      <c r="H21"/>
      <c r="I21"/>
      <c r="J21"/>
      <c r="K21"/>
      <c r="L21"/>
      <c r="M21"/>
      <c r="N21"/>
      <c r="O21"/>
      <c r="P21"/>
    </row>
    <row r="22" spans="1:29">
      <c r="A22" s="20" t="str">
        <f>A9</f>
        <v>SPARTA GRODZISK MAZ. 5</v>
      </c>
      <c r="B22" s="20" t="str">
        <f>A10</f>
        <v>VOLLEY RADZIEJOWICE 11</v>
      </c>
      <c r="C22" s="37">
        <v>8</v>
      </c>
      <c r="D22" s="37" t="s">
        <v>31</v>
      </c>
      <c r="E22" s="37">
        <v>11</v>
      </c>
      <c r="F22" s="27"/>
      <c r="H22"/>
      <c r="I22"/>
      <c r="J22"/>
      <c r="K22"/>
      <c r="L22"/>
      <c r="M22"/>
      <c r="N22"/>
      <c r="O22"/>
      <c r="P22"/>
    </row>
    <row r="23" spans="1:29">
      <c r="A23" s="20" t="str">
        <f>A11</f>
        <v>GLKS NADARZYN 2</v>
      </c>
      <c r="B23" s="20" t="str">
        <f>A9</f>
        <v>SPARTA GRODZISK MAZ. 5</v>
      </c>
      <c r="C23" s="37">
        <v>4</v>
      </c>
      <c r="D23" s="37" t="s">
        <v>31</v>
      </c>
      <c r="E23" s="37">
        <v>11</v>
      </c>
      <c r="F23" s="27"/>
      <c r="H23"/>
      <c r="I23"/>
      <c r="J23"/>
      <c r="K23"/>
      <c r="L23"/>
      <c r="M23"/>
      <c r="N23"/>
      <c r="O23"/>
      <c r="P23"/>
    </row>
    <row r="24" spans="1:29">
      <c r="A24" s="20" t="str">
        <f>A12</f>
        <v>VOLLEY RADZIEJOWICE 9</v>
      </c>
      <c r="B24" s="20" t="str">
        <f>A8</f>
        <v>GLKS NADARZYN 9</v>
      </c>
      <c r="C24" s="37">
        <v>11</v>
      </c>
      <c r="D24" s="37" t="s">
        <v>31</v>
      </c>
      <c r="E24" s="37">
        <v>2</v>
      </c>
      <c r="F24" s="27"/>
      <c r="H24"/>
      <c r="I24"/>
      <c r="J24"/>
      <c r="K24"/>
      <c r="L24"/>
      <c r="M24"/>
      <c r="N24"/>
      <c r="O24"/>
      <c r="P24"/>
    </row>
    <row r="25" spans="1:29">
      <c r="A25" s="20" t="str">
        <f>A13</f>
        <v>GLKS NADARZYN 3</v>
      </c>
      <c r="B25" s="20" t="str">
        <f>A7</f>
        <v>GLKS NADARZYN 6</v>
      </c>
      <c r="C25" s="37">
        <v>11</v>
      </c>
      <c r="D25" s="37" t="s">
        <v>31</v>
      </c>
      <c r="E25" s="37">
        <v>6</v>
      </c>
      <c r="F25" s="27" t="s">
        <v>32</v>
      </c>
      <c r="H25"/>
      <c r="I25"/>
      <c r="J25"/>
      <c r="K25"/>
      <c r="L25"/>
      <c r="M25"/>
      <c r="N25"/>
      <c r="O25"/>
      <c r="P25"/>
    </row>
    <row r="26" spans="1:29" s="27" customFormat="1">
      <c r="A26" s="20" t="str">
        <f>A14</f>
        <v>ISKRA WARSZAWA 8</v>
      </c>
      <c r="B26" s="20" t="str">
        <f>A6</f>
        <v>GLKS NADARZYN 8</v>
      </c>
      <c r="C26" s="37">
        <v>11</v>
      </c>
      <c r="D26" s="37" t="s">
        <v>31</v>
      </c>
      <c r="E26" s="37">
        <v>8</v>
      </c>
      <c r="H26"/>
      <c r="I26"/>
      <c r="J26"/>
      <c r="K26"/>
      <c r="L26"/>
      <c r="M26"/>
      <c r="N26"/>
      <c r="O26"/>
      <c r="P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 s="27" customFormat="1">
      <c r="A27" s="20" t="str">
        <f>A4</f>
        <v>GLKS NADARZYN 1</v>
      </c>
      <c r="B27" s="20" t="str">
        <f>A5</f>
        <v>SPARTA GRODZISK MAZ. 8</v>
      </c>
      <c r="C27" s="37">
        <v>5</v>
      </c>
      <c r="D27" s="37" t="s">
        <v>31</v>
      </c>
      <c r="E27" s="37">
        <v>11</v>
      </c>
      <c r="F27" s="26"/>
      <c r="H27"/>
      <c r="I27"/>
      <c r="J27"/>
      <c r="K27"/>
      <c r="L27"/>
      <c r="M27"/>
      <c r="N27"/>
      <c r="O27"/>
      <c r="P2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s="27" customFormat="1">
      <c r="A28" s="20" t="str">
        <f>A6</f>
        <v>GLKS NADARZYN 8</v>
      </c>
      <c r="B28" s="20" t="str">
        <f>A4</f>
        <v>GLKS NADARZYN 1</v>
      </c>
      <c r="C28" s="37">
        <v>11</v>
      </c>
      <c r="D28" s="37" t="s">
        <v>31</v>
      </c>
      <c r="E28" s="37">
        <v>10</v>
      </c>
      <c r="F28" s="26"/>
      <c r="H28"/>
      <c r="I28"/>
      <c r="J28"/>
      <c r="K28"/>
      <c r="L28"/>
      <c r="M28"/>
      <c r="N28"/>
      <c r="O28"/>
      <c r="P28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s="27" customFormat="1">
      <c r="A29" s="20" t="str">
        <f>A7</f>
        <v>GLKS NADARZYN 6</v>
      </c>
      <c r="B29" s="20" t="str">
        <f>A14</f>
        <v>ISKRA WARSZAWA 8</v>
      </c>
      <c r="C29" s="37">
        <v>4</v>
      </c>
      <c r="D29" s="37" t="s">
        <v>31</v>
      </c>
      <c r="E29" s="37">
        <v>11</v>
      </c>
      <c r="F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</row>
    <row r="30" spans="1:29" s="27" customFormat="1">
      <c r="A30" s="20" t="str">
        <f>A8</f>
        <v>GLKS NADARZYN 9</v>
      </c>
      <c r="B30" s="20" t="str">
        <f>A13</f>
        <v>GLKS NADARZYN 3</v>
      </c>
      <c r="C30" s="37">
        <v>2</v>
      </c>
      <c r="D30" s="37" t="s">
        <v>31</v>
      </c>
      <c r="E30" s="37">
        <v>11</v>
      </c>
      <c r="F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 s="27" customFormat="1">
      <c r="A31" s="20" t="str">
        <f>A9</f>
        <v>SPARTA GRODZISK MAZ. 5</v>
      </c>
      <c r="B31" s="20" t="str">
        <f>A12</f>
        <v>VOLLEY RADZIEJOWICE 9</v>
      </c>
      <c r="C31" s="37">
        <v>11</v>
      </c>
      <c r="D31" s="37" t="s">
        <v>31</v>
      </c>
      <c r="E31" s="37">
        <v>6</v>
      </c>
      <c r="F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  <row r="32" spans="1:29">
      <c r="A32" s="20" t="str">
        <f>A10</f>
        <v>VOLLEY RADZIEJOWICE 11</v>
      </c>
      <c r="B32" s="20" t="str">
        <f>A11</f>
        <v>GLKS NADARZYN 2</v>
      </c>
      <c r="C32" s="37">
        <v>11</v>
      </c>
      <c r="D32" s="37" t="s">
        <v>31</v>
      </c>
      <c r="E32" s="37">
        <v>6</v>
      </c>
    </row>
    <row r="33" spans="1:5">
      <c r="A33" s="20" t="str">
        <f>A12</f>
        <v>VOLLEY RADZIEJOWICE 9</v>
      </c>
      <c r="B33" s="20" t="str">
        <f>A10</f>
        <v>VOLLEY RADZIEJOWICE 11</v>
      </c>
      <c r="C33" s="37">
        <v>10</v>
      </c>
      <c r="D33" s="37" t="s">
        <v>31</v>
      </c>
      <c r="E33" s="37">
        <v>11</v>
      </c>
    </row>
    <row r="34" spans="1:5">
      <c r="A34" s="20" t="str">
        <f>A13</f>
        <v>GLKS NADARZYN 3</v>
      </c>
      <c r="B34" s="20" t="str">
        <f>A9</f>
        <v>SPARTA GRODZISK MAZ. 5</v>
      </c>
      <c r="C34" s="37">
        <v>11</v>
      </c>
      <c r="D34" s="37" t="s">
        <v>31</v>
      </c>
      <c r="E34" s="37">
        <v>9</v>
      </c>
    </row>
    <row r="35" spans="1:5">
      <c r="A35" s="20" t="str">
        <f>A14</f>
        <v>ISKRA WARSZAWA 8</v>
      </c>
      <c r="B35" s="20" t="str">
        <f>A8</f>
        <v>GLKS NADARZYN 9</v>
      </c>
      <c r="C35" s="37">
        <v>11</v>
      </c>
      <c r="D35" s="37" t="s">
        <v>31</v>
      </c>
      <c r="E35" s="37">
        <v>1</v>
      </c>
    </row>
    <row r="36" spans="1:5">
      <c r="A36" s="20" t="str">
        <f>A4</f>
        <v>GLKS NADARZYN 1</v>
      </c>
      <c r="B36" s="20" t="str">
        <f>A7</f>
        <v>GLKS NADARZYN 6</v>
      </c>
      <c r="C36" s="37">
        <v>9</v>
      </c>
      <c r="D36" s="37" t="s">
        <v>31</v>
      </c>
      <c r="E36" s="37">
        <v>11</v>
      </c>
    </row>
    <row r="37" spans="1:5">
      <c r="A37" s="20" t="str">
        <f>A5</f>
        <v>SPARTA GRODZISK MAZ. 8</v>
      </c>
      <c r="B37" s="20" t="str">
        <f>A6</f>
        <v>GLKS NADARZYN 8</v>
      </c>
      <c r="C37" s="37">
        <v>11</v>
      </c>
      <c r="D37" s="37" t="s">
        <v>31</v>
      </c>
      <c r="E37" s="37">
        <v>1</v>
      </c>
    </row>
    <row r="38" spans="1:5">
      <c r="A38" s="20" t="str">
        <f>A7</f>
        <v>GLKS NADARZYN 6</v>
      </c>
      <c r="B38" s="20" t="str">
        <f>A5</f>
        <v>SPARTA GRODZISK MAZ. 8</v>
      </c>
      <c r="C38" s="37">
        <v>7</v>
      </c>
      <c r="D38" s="37" t="s">
        <v>31</v>
      </c>
      <c r="E38" s="37">
        <v>11</v>
      </c>
    </row>
    <row r="39" spans="1:5">
      <c r="A39" s="20" t="str">
        <f>A8</f>
        <v>GLKS NADARZYN 9</v>
      </c>
      <c r="B39" s="20" t="str">
        <f>A4</f>
        <v>GLKS NADARZYN 1</v>
      </c>
      <c r="C39" s="37">
        <v>11</v>
      </c>
      <c r="D39" s="37" t="s">
        <v>31</v>
      </c>
      <c r="E39" s="37">
        <v>5</v>
      </c>
    </row>
    <row r="40" spans="1:5">
      <c r="A40" s="20" t="str">
        <f t="shared" ref="A40" si="36">A7</f>
        <v>GLKS NADARZYN 6</v>
      </c>
      <c r="B40" s="20" t="str">
        <f>A5</f>
        <v>SPARTA GRODZISK MAZ. 8</v>
      </c>
      <c r="C40" s="37">
        <v>0</v>
      </c>
      <c r="D40" s="37" t="s">
        <v>31</v>
      </c>
      <c r="E40" s="37">
        <v>0</v>
      </c>
    </row>
    <row r="41" spans="1:5">
      <c r="A41" s="20" t="str">
        <f>A9</f>
        <v>SPARTA GRODZISK MAZ. 5</v>
      </c>
      <c r="B41" s="20" t="str">
        <f>A14</f>
        <v>ISKRA WARSZAWA 8</v>
      </c>
      <c r="C41" s="37">
        <v>11</v>
      </c>
      <c r="D41" s="37" t="s">
        <v>31</v>
      </c>
      <c r="E41" s="37">
        <v>5</v>
      </c>
    </row>
    <row r="42" spans="1:5">
      <c r="A42" s="20" t="str">
        <f>A10</f>
        <v>VOLLEY RADZIEJOWICE 11</v>
      </c>
      <c r="B42" s="20" t="str">
        <f>A13</f>
        <v>GLKS NADARZYN 3</v>
      </c>
      <c r="C42" s="37">
        <v>5</v>
      </c>
      <c r="D42" s="37" t="s">
        <v>31</v>
      </c>
      <c r="E42" s="37">
        <v>11</v>
      </c>
    </row>
    <row r="43" spans="1:5">
      <c r="A43" s="20" t="str">
        <f>A11</f>
        <v>GLKS NADARZYN 2</v>
      </c>
      <c r="B43" s="20" t="str">
        <f>A12</f>
        <v>VOLLEY RADZIEJOWICE 9</v>
      </c>
      <c r="C43" s="37">
        <v>11</v>
      </c>
      <c r="D43" s="37" t="s">
        <v>31</v>
      </c>
      <c r="E43" s="37">
        <v>4</v>
      </c>
    </row>
    <row r="44" spans="1:5">
      <c r="A44" s="20" t="str">
        <f>A13</f>
        <v>GLKS NADARZYN 3</v>
      </c>
      <c r="B44" s="20" t="str">
        <f>A11</f>
        <v>GLKS NADARZYN 2</v>
      </c>
      <c r="C44" s="37">
        <v>8</v>
      </c>
      <c r="D44" s="37" t="s">
        <v>31</v>
      </c>
      <c r="E44" s="37">
        <v>11</v>
      </c>
    </row>
    <row r="45" spans="1:5">
      <c r="A45" s="20" t="str">
        <f>A14</f>
        <v>ISKRA WARSZAWA 8</v>
      </c>
      <c r="B45" s="20" t="str">
        <f>A10</f>
        <v>VOLLEY RADZIEJOWICE 11</v>
      </c>
      <c r="C45" s="37">
        <v>6</v>
      </c>
      <c r="D45" s="37" t="s">
        <v>31</v>
      </c>
      <c r="E45" s="37">
        <v>11</v>
      </c>
    </row>
    <row r="46" spans="1:5">
      <c r="A46" s="20" t="str">
        <f>A4</f>
        <v>GLKS NADARZYN 1</v>
      </c>
      <c r="B46" s="20" t="str">
        <f>A9</f>
        <v>SPARTA GRODZISK MAZ. 5</v>
      </c>
      <c r="C46" s="37">
        <v>3</v>
      </c>
      <c r="D46" s="37" t="s">
        <v>31</v>
      </c>
      <c r="E46" s="37">
        <v>11</v>
      </c>
    </row>
    <row r="47" spans="1:5">
      <c r="A47" s="20" t="str">
        <f t="shared" ref="A47:A51" si="37">A5</f>
        <v>SPARTA GRODZISK MAZ. 8</v>
      </c>
      <c r="B47" s="20" t="str">
        <f>A8</f>
        <v>GLKS NADARZYN 9</v>
      </c>
      <c r="C47" s="37">
        <v>11</v>
      </c>
      <c r="D47" s="37" t="s">
        <v>31</v>
      </c>
      <c r="E47" s="37">
        <v>4</v>
      </c>
    </row>
    <row r="48" spans="1:5">
      <c r="A48" s="20" t="str">
        <f t="shared" si="37"/>
        <v>GLKS NADARZYN 8</v>
      </c>
      <c r="B48" s="20" t="str">
        <f>A7</f>
        <v>GLKS NADARZYN 6</v>
      </c>
      <c r="C48" s="37">
        <v>11</v>
      </c>
      <c r="D48" s="37" t="s">
        <v>31</v>
      </c>
      <c r="E48" s="37">
        <v>10</v>
      </c>
    </row>
    <row r="49" spans="1:5">
      <c r="A49" s="20" t="str">
        <f>A8</f>
        <v>GLKS NADARZYN 9</v>
      </c>
      <c r="B49" s="20" t="str">
        <f>A6</f>
        <v>GLKS NADARZYN 8</v>
      </c>
      <c r="C49" s="37">
        <v>6</v>
      </c>
      <c r="D49" s="37" t="s">
        <v>31</v>
      </c>
      <c r="E49" s="37">
        <v>11</v>
      </c>
    </row>
    <row r="50" spans="1:5">
      <c r="A50" s="20" t="str">
        <f>A9</f>
        <v>SPARTA GRODZISK MAZ. 5</v>
      </c>
      <c r="B50" s="20" t="str">
        <f>A5</f>
        <v>SPARTA GRODZISK MAZ. 8</v>
      </c>
      <c r="C50" s="37">
        <v>3</v>
      </c>
      <c r="D50" s="37" t="s">
        <v>31</v>
      </c>
      <c r="E50" s="37">
        <v>11</v>
      </c>
    </row>
    <row r="51" spans="1:5">
      <c r="A51" s="20" t="str">
        <f t="shared" si="37"/>
        <v>SPARTA GRODZISK MAZ. 5</v>
      </c>
      <c r="B51" s="20" t="str">
        <f>A5</f>
        <v>SPARTA GRODZISK MAZ. 8</v>
      </c>
      <c r="C51" s="37"/>
      <c r="D51" s="37" t="s">
        <v>31</v>
      </c>
      <c r="E51" s="37"/>
    </row>
    <row r="52" spans="1:5">
      <c r="A52" s="20" t="str">
        <f>A10</f>
        <v>VOLLEY RADZIEJOWICE 11</v>
      </c>
      <c r="B52" s="20" t="str">
        <f>A4</f>
        <v>GLKS NADARZYN 1</v>
      </c>
      <c r="C52" s="37">
        <v>11</v>
      </c>
      <c r="D52" s="37" t="s">
        <v>31</v>
      </c>
      <c r="E52" s="37">
        <v>7</v>
      </c>
    </row>
    <row r="53" spans="1:5">
      <c r="A53" s="20" t="str">
        <f>A11</f>
        <v>GLKS NADARZYN 2</v>
      </c>
      <c r="B53" s="20" t="str">
        <f>A14</f>
        <v>ISKRA WARSZAWA 8</v>
      </c>
      <c r="C53" s="37">
        <v>7</v>
      </c>
      <c r="D53" s="37" t="s">
        <v>31</v>
      </c>
      <c r="E53" s="37">
        <v>11</v>
      </c>
    </row>
    <row r="54" spans="1:5">
      <c r="A54" s="20" t="str">
        <f>A12</f>
        <v>VOLLEY RADZIEJOWICE 9</v>
      </c>
      <c r="B54" s="20" t="str">
        <f>A13</f>
        <v>GLKS NADARZYN 3</v>
      </c>
      <c r="C54" s="37">
        <v>11</v>
      </c>
      <c r="D54" s="37" t="s">
        <v>31</v>
      </c>
      <c r="E54" s="37">
        <v>2</v>
      </c>
    </row>
    <row r="55" spans="1:5">
      <c r="A55" s="20" t="str">
        <f>A14</f>
        <v>ISKRA WARSZAWA 8</v>
      </c>
      <c r="B55" s="20" t="str">
        <f>A12</f>
        <v>VOLLEY RADZIEJOWICE 9</v>
      </c>
      <c r="C55" s="37">
        <v>11</v>
      </c>
      <c r="D55" s="37" t="s">
        <v>31</v>
      </c>
      <c r="E55" s="37">
        <v>8</v>
      </c>
    </row>
    <row r="56" spans="1:5">
      <c r="A56" s="20" t="str">
        <f>A4</f>
        <v>GLKS NADARZYN 1</v>
      </c>
      <c r="B56" s="20" t="str">
        <f>A11</f>
        <v>GLKS NADARZYN 2</v>
      </c>
      <c r="C56" s="37">
        <v>4</v>
      </c>
      <c r="D56" s="37" t="s">
        <v>31</v>
      </c>
      <c r="E56" s="37">
        <v>11</v>
      </c>
    </row>
    <row r="57" spans="1:5">
      <c r="A57" s="20" t="str">
        <f t="shared" ref="A57:A61" si="38">A6</f>
        <v>GLKS NADARZYN 8</v>
      </c>
      <c r="B57" s="20" t="str">
        <f>A9</f>
        <v>SPARTA GRODZISK MAZ. 5</v>
      </c>
      <c r="C57" s="37">
        <v>6</v>
      </c>
      <c r="D57" s="37" t="s">
        <v>31</v>
      </c>
      <c r="E57" s="37">
        <v>11</v>
      </c>
    </row>
    <row r="58" spans="1:5">
      <c r="A58" s="20" t="str">
        <f>A5</f>
        <v>SPARTA GRODZISK MAZ. 8</v>
      </c>
      <c r="B58" s="20" t="str">
        <f>A10</f>
        <v>VOLLEY RADZIEJOWICE 11</v>
      </c>
      <c r="C58" s="37">
        <v>9</v>
      </c>
      <c r="D58" s="37" t="s">
        <v>31</v>
      </c>
      <c r="E58" s="37">
        <v>11</v>
      </c>
    </row>
    <row r="59" spans="1:5">
      <c r="A59" s="20" t="str">
        <f>A6</f>
        <v>GLKS NADARZYN 8</v>
      </c>
      <c r="B59" s="20" t="str">
        <f>A9</f>
        <v>SPARTA GRODZISK MAZ. 5</v>
      </c>
      <c r="C59" s="37"/>
      <c r="D59" s="37" t="s">
        <v>31</v>
      </c>
      <c r="E59" s="37"/>
    </row>
    <row r="60" spans="1:5">
      <c r="A60" s="20" t="str">
        <f>A7</f>
        <v>GLKS NADARZYN 6</v>
      </c>
      <c r="B60" s="20" t="str">
        <f>A8</f>
        <v>GLKS NADARZYN 9</v>
      </c>
      <c r="C60" s="37">
        <v>11</v>
      </c>
      <c r="D60" s="37" t="s">
        <v>31</v>
      </c>
      <c r="E60" s="37">
        <v>7</v>
      </c>
    </row>
    <row r="61" spans="1:5">
      <c r="A61" s="20" t="str">
        <f t="shared" si="38"/>
        <v>VOLLEY RADZIEJOWICE 11</v>
      </c>
      <c r="B61" s="20" t="str">
        <f>A6</f>
        <v>GLKS NADARZYN 8</v>
      </c>
      <c r="C61" s="37">
        <v>11</v>
      </c>
      <c r="D61" s="37" t="s">
        <v>31</v>
      </c>
      <c r="E61" s="37">
        <v>4</v>
      </c>
    </row>
    <row r="62" spans="1:5">
      <c r="A62" s="20" t="str">
        <f>A9</f>
        <v>SPARTA GRODZISK MAZ. 5</v>
      </c>
      <c r="B62" s="20" t="str">
        <f>A7</f>
        <v>GLKS NADARZYN 6</v>
      </c>
      <c r="C62" s="37">
        <v>6</v>
      </c>
      <c r="D62" s="37" t="s">
        <v>31</v>
      </c>
      <c r="E62" s="37">
        <v>11</v>
      </c>
    </row>
    <row r="63" spans="1:5">
      <c r="A63" s="20" t="str">
        <f>A10</f>
        <v>VOLLEY RADZIEJOWICE 11</v>
      </c>
      <c r="B63" s="20" t="str">
        <f>A6</f>
        <v>GLKS NADARZYN 8</v>
      </c>
      <c r="C63" s="37"/>
      <c r="D63" s="37" t="s">
        <v>31</v>
      </c>
      <c r="E63" s="37"/>
    </row>
    <row r="64" spans="1:5">
      <c r="A64" s="20" t="str">
        <f>A11</f>
        <v>GLKS NADARZYN 2</v>
      </c>
      <c r="B64" s="20" t="str">
        <f>A5</f>
        <v>SPARTA GRODZISK MAZ. 8</v>
      </c>
      <c r="C64" s="37">
        <v>4</v>
      </c>
      <c r="D64" s="37" t="s">
        <v>31</v>
      </c>
      <c r="E64" s="37">
        <v>11</v>
      </c>
    </row>
    <row r="65" spans="1:5">
      <c r="A65" s="20" t="str">
        <f>A12</f>
        <v>VOLLEY RADZIEJOWICE 9</v>
      </c>
      <c r="B65" s="20" t="str">
        <f>A4</f>
        <v>GLKS NADARZYN 1</v>
      </c>
      <c r="C65" s="37">
        <v>11</v>
      </c>
      <c r="D65" s="37" t="s">
        <v>31</v>
      </c>
      <c r="E65" s="37">
        <v>4</v>
      </c>
    </row>
    <row r="66" spans="1:5">
      <c r="A66" s="20" t="str">
        <f>A13</f>
        <v>GLKS NADARZYN 3</v>
      </c>
      <c r="B66" s="20" t="str">
        <f>A14</f>
        <v>ISKRA WARSZAWA 8</v>
      </c>
      <c r="C66" s="37">
        <v>11</v>
      </c>
      <c r="D66" s="37" t="s">
        <v>31</v>
      </c>
      <c r="E66" s="37">
        <v>9</v>
      </c>
    </row>
    <row r="67" spans="1:5">
      <c r="A67" s="20" t="str">
        <f>A4</f>
        <v>GLKS NADARZYN 1</v>
      </c>
      <c r="B67" s="20" t="str">
        <f>A13</f>
        <v>GLKS NADARZYN 3</v>
      </c>
      <c r="C67" s="37">
        <v>7</v>
      </c>
      <c r="D67" s="37" t="s">
        <v>31</v>
      </c>
      <c r="E67" s="37">
        <v>11</v>
      </c>
    </row>
    <row r="68" spans="1:5">
      <c r="A68" s="20" t="str">
        <f>A5</f>
        <v>SPARTA GRODZISK MAZ. 8</v>
      </c>
      <c r="B68" s="20" t="str">
        <f>A12</f>
        <v>VOLLEY RADZIEJOWICE 9</v>
      </c>
      <c r="C68" s="37">
        <v>3</v>
      </c>
      <c r="D68" s="37" t="s">
        <v>31</v>
      </c>
      <c r="E68" s="37">
        <v>11</v>
      </c>
    </row>
    <row r="69" spans="1:5">
      <c r="A69" s="20" t="str">
        <f>A6</f>
        <v>GLKS NADARZYN 8</v>
      </c>
      <c r="B69" s="20" t="str">
        <f>A11</f>
        <v>GLKS NADARZYN 2</v>
      </c>
      <c r="C69" s="37">
        <v>6</v>
      </c>
      <c r="D69" s="37" t="s">
        <v>31</v>
      </c>
      <c r="E69" s="37">
        <v>11</v>
      </c>
    </row>
    <row r="70" spans="1:5">
      <c r="A70" s="20" t="str">
        <f>A7</f>
        <v>GLKS NADARZYN 6</v>
      </c>
      <c r="B70" s="20" t="str">
        <f>A10</f>
        <v>VOLLEY RADZIEJOWICE 11</v>
      </c>
      <c r="C70" s="37">
        <v>8</v>
      </c>
      <c r="D70" s="37" t="s">
        <v>31</v>
      </c>
      <c r="E70" s="37">
        <v>11</v>
      </c>
    </row>
    <row r="71" spans="1:5">
      <c r="A71" s="20" t="str">
        <f>A8</f>
        <v>GLKS NADARZYN 9</v>
      </c>
      <c r="B71" s="20" t="str">
        <f>A9</f>
        <v>SPARTA GRODZISK MAZ. 5</v>
      </c>
      <c r="C71" s="37">
        <v>4</v>
      </c>
      <c r="D71" s="37" t="s">
        <v>31</v>
      </c>
      <c r="E71" s="37">
        <v>11</v>
      </c>
    </row>
    <row r="72" spans="1:5">
      <c r="A72" s="20" t="str">
        <f>A10</f>
        <v>VOLLEY RADZIEJOWICE 11</v>
      </c>
      <c r="B72" s="20" t="str">
        <f>A8</f>
        <v>GLKS NADARZYN 9</v>
      </c>
      <c r="C72" s="37">
        <v>11</v>
      </c>
      <c r="D72" s="37" t="s">
        <v>31</v>
      </c>
      <c r="E72" s="37">
        <v>2</v>
      </c>
    </row>
    <row r="73" spans="1:5">
      <c r="A73" s="20" t="str">
        <f>A11</f>
        <v>GLKS NADARZYN 2</v>
      </c>
      <c r="B73" s="20" t="str">
        <f>A7</f>
        <v>GLKS NADARZYN 6</v>
      </c>
      <c r="C73" s="37">
        <v>9</v>
      </c>
      <c r="D73" s="37" t="s">
        <v>31</v>
      </c>
      <c r="E73" s="37">
        <v>11</v>
      </c>
    </row>
    <row r="74" spans="1:5">
      <c r="A74" s="20" t="str">
        <f>A12</f>
        <v>VOLLEY RADZIEJOWICE 9</v>
      </c>
      <c r="B74" s="20" t="str">
        <f>A6</f>
        <v>GLKS NADARZYN 8</v>
      </c>
      <c r="C74" s="37">
        <v>11</v>
      </c>
      <c r="D74" s="37" t="s">
        <v>31</v>
      </c>
      <c r="E74" s="37">
        <v>5</v>
      </c>
    </row>
    <row r="75" spans="1:5">
      <c r="A75" s="20" t="str">
        <f>A13</f>
        <v>GLKS NADARZYN 3</v>
      </c>
      <c r="B75" s="20" t="str">
        <f>A5</f>
        <v>SPARTA GRODZISK MAZ. 8</v>
      </c>
      <c r="C75" s="37">
        <v>10</v>
      </c>
      <c r="D75" s="37" t="s">
        <v>31</v>
      </c>
      <c r="E75" s="37">
        <v>11</v>
      </c>
    </row>
    <row r="76" spans="1:5">
      <c r="A76" s="20" t="str">
        <f>A14</f>
        <v>ISKRA WARSZAWA 8</v>
      </c>
      <c r="B76" s="20" t="str">
        <f>A4</f>
        <v>GLKS NADARZYN 1</v>
      </c>
      <c r="C76" s="37">
        <v>11</v>
      </c>
      <c r="D76" s="37" t="s">
        <v>31</v>
      </c>
      <c r="E76" s="37">
        <v>7</v>
      </c>
    </row>
  </sheetData>
  <autoFilter ref="A17:B76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FB0B-ED6C-4682-95ED-3D102AF773DE}">
  <sheetPr>
    <pageSetUpPr fitToPage="1"/>
  </sheetPr>
  <dimension ref="A1:AC61"/>
  <sheetViews>
    <sheetView topLeftCell="A33" workbookViewId="0">
      <selection activeCell="AB13" sqref="AB13"/>
    </sheetView>
  </sheetViews>
  <sheetFormatPr defaultColWidth="8.85546875" defaultRowHeight="15"/>
  <cols>
    <col min="1" max="2" width="24" style="2" bestFit="1" customWidth="1"/>
    <col min="3" max="5" width="3.85546875" style="2" customWidth="1"/>
    <col min="6" max="6" width="8.28515625" style="2" customWidth="1"/>
    <col min="7" max="7" width="8.28515625" style="3" customWidth="1"/>
    <col min="8" max="8" width="24.42578125" style="3" bestFit="1" customWidth="1"/>
    <col min="9" max="9" width="11.7109375" style="3" customWidth="1"/>
    <col min="10" max="16" width="11.7109375" style="2" customWidth="1"/>
    <col min="17" max="17" width="11.42578125" style="2" customWidth="1"/>
    <col min="18" max="18" width="8.85546875" style="2" customWidth="1"/>
    <col min="19" max="19" width="12.7109375" style="2" customWidth="1"/>
    <col min="20" max="26" width="9.140625" style="2" customWidth="1"/>
    <col min="27" max="27" width="7" style="2" customWidth="1"/>
    <col min="28" max="28" width="9.140625" style="2" customWidth="1"/>
    <col min="29" max="29" width="8.85546875" style="2" customWidth="1"/>
    <col min="30" max="16384" width="8.85546875" style="2"/>
  </cols>
  <sheetData>
    <row r="1" spans="1:29" ht="28.5">
      <c r="A1" s="1" t="s">
        <v>102</v>
      </c>
      <c r="S1" s="2" t="s">
        <v>1</v>
      </c>
      <c r="T1" s="2" t="b">
        <f>ROWS(homescore)-COUNT(homescore)=0</f>
        <v>1</v>
      </c>
    </row>
    <row r="2" spans="1:29">
      <c r="H2" s="4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6" t="s">
        <v>9</v>
      </c>
      <c r="P2" s="6" t="s">
        <v>10</v>
      </c>
      <c r="T2" s="7" t="s">
        <v>3</v>
      </c>
      <c r="U2" s="8" t="s">
        <v>11</v>
      </c>
      <c r="V2" s="8" t="s">
        <v>12</v>
      </c>
      <c r="W2" s="9" t="s">
        <v>13</v>
      </c>
      <c r="X2" s="4" t="s">
        <v>14</v>
      </c>
      <c r="Y2" s="8" t="s">
        <v>15</v>
      </c>
      <c r="Z2" s="22" t="s">
        <v>16</v>
      </c>
      <c r="AA2" s="9" t="s">
        <v>12</v>
      </c>
      <c r="AB2" s="9" t="s">
        <v>17</v>
      </c>
      <c r="AC2" s="2" t="s">
        <v>18</v>
      </c>
    </row>
    <row r="3" spans="1:29">
      <c r="A3" s="10" t="s">
        <v>2</v>
      </c>
      <c r="B3" s="11"/>
      <c r="H3" s="12" t="str">
        <f>_xlfn.XLOOKUP(1,$AC$3:$AC$12,$S$3:$S$12)</f>
        <v>SPARTA GRODZISK MAZ. 6</v>
      </c>
      <c r="I3" s="12">
        <f t="shared" ref="I3:I12" si="0">VLOOKUP($H3,$S$3:$AA$12,2,0)</f>
        <v>9</v>
      </c>
      <c r="J3" s="12">
        <f t="shared" ref="J3:J12" si="1">VLOOKUP($H3,$S$3:$AA$12,3,0)</f>
        <v>9</v>
      </c>
      <c r="K3" s="12">
        <f t="shared" ref="K3:K12" si="2">VLOOKUP($H3,$S$3:$AA$12,4,0)</f>
        <v>0</v>
      </c>
      <c r="L3" s="12">
        <f t="shared" ref="L3:L12" si="3">VLOOKUP($H3,$S$3:$AA$12,5,0)</f>
        <v>99</v>
      </c>
      <c r="M3" s="12">
        <f t="shared" ref="M3:M12" si="4">VLOOKUP($H3,$S$3:$AA$12,6,0)</f>
        <v>32</v>
      </c>
      <c r="N3" s="12">
        <f t="shared" ref="N3:N12" si="5">VLOOKUP($H3,$S$3:$AA$12,7,0)</f>
        <v>67</v>
      </c>
      <c r="O3" s="21">
        <f>IF(Tabela14569[[#This Row],[STRACONE]]=0,0,Tabela14569[[#This Row],[ZDOBYTE]]/Tabela14569[[#This Row],[STRACONE]])</f>
        <v>3.09375</v>
      </c>
      <c r="P3" s="13">
        <f t="shared" ref="P3:P12" si="6">VLOOKUP($H3,$S$3:$AB$12,9,0)</f>
        <v>18</v>
      </c>
      <c r="S3" s="14" t="str">
        <f t="shared" ref="S3:S10" si="7">A4</f>
        <v>RCS RADOM 6</v>
      </c>
      <c r="T3" s="15" cm="1">
        <f t="array" ref="T3">SUM((home=S3)*(ISNUMBER(homescore)),(visitor=S3)*(ISNUMBER(visitorscore)))</f>
        <v>9</v>
      </c>
      <c r="U3" s="3">
        <f t="array" ref="U3">SUM((home=S3)*(homescore&gt;visitorscore),(visitor=S3)*(visitorscore&gt;homescore))</f>
        <v>8</v>
      </c>
      <c r="V3" s="3">
        <f t="array" ref="V3">SUM((home=S3)*(homescore&lt;visitorscore),(visitor=S3)*(visitorscore&lt;homescore))</f>
        <v>1</v>
      </c>
      <c r="W3" s="16">
        <f t="shared" ref="W3" si="8">SUMIF(home,S3,homescore)+SUMIF(visitor,S3,visitorscore)</f>
        <v>95</v>
      </c>
      <c r="X3" s="17">
        <f t="shared" ref="X3" si="9">SUMIF(home,S3,visitorscore)+SUMIF(visitor,S3,homescore)</f>
        <v>33</v>
      </c>
      <c r="Y3" s="3">
        <f>W3-X3</f>
        <v>62</v>
      </c>
      <c r="Z3" s="23">
        <f>IF(X3&gt;0,W3/X3,0)</f>
        <v>2.8787878787878789</v>
      </c>
      <c r="AA3" s="16">
        <f>2*U3</f>
        <v>16</v>
      </c>
      <c r="AB3" s="18">
        <f>W3+Z3*1000+Y3*10000+AA3*100000000</f>
        <v>1600622973.7878788</v>
      </c>
      <c r="AC3" s="2">
        <f>RANK(AB3,$AB$3:$AB$12)</f>
        <v>2</v>
      </c>
    </row>
    <row r="4" spans="1:29">
      <c r="A4" s="49" t="s">
        <v>103</v>
      </c>
      <c r="H4" s="12" t="str">
        <f>_xlfn.XLOOKUP(2,$AC$3:$AC$12,$S$3:$S$12)</f>
        <v>RCS RADOM 6</v>
      </c>
      <c r="I4" s="12">
        <f t="shared" si="0"/>
        <v>9</v>
      </c>
      <c r="J4" s="12">
        <f t="shared" si="1"/>
        <v>8</v>
      </c>
      <c r="K4" s="12">
        <f t="shared" si="2"/>
        <v>1</v>
      </c>
      <c r="L4" s="12">
        <f t="shared" si="3"/>
        <v>95</v>
      </c>
      <c r="M4" s="12">
        <f t="shared" si="4"/>
        <v>33</v>
      </c>
      <c r="N4" s="12">
        <f t="shared" si="5"/>
        <v>62</v>
      </c>
      <c r="O4" s="21">
        <f>IF(Tabela14569[[#This Row],[STRACONE]]=0,0,Tabela14569[[#This Row],[ZDOBYTE]]/Tabela14569[[#This Row],[STRACONE]])</f>
        <v>2.8787878787878789</v>
      </c>
      <c r="P4" s="13">
        <f t="shared" si="6"/>
        <v>16</v>
      </c>
      <c r="S4" s="19" t="str">
        <f t="shared" si="7"/>
        <v>ISKRA WARSZAWA 10</v>
      </c>
      <c r="T4" s="15" cm="1">
        <f t="array" ref="T4">SUM((home=S4)*(ISNUMBER(homescore)),(visitor=S4)*(ISNUMBER(visitorscore)))</f>
        <v>9</v>
      </c>
      <c r="U4" s="3">
        <f t="array" ref="U4">SUM((home=S4)*(homescore&gt;visitorscore),(visitor=S4)*(visitorscore&gt;homescore))</f>
        <v>0</v>
      </c>
      <c r="V4" s="3">
        <f t="array" ref="V4">SUM((home=S4)*(homescore&lt;visitorscore),(visitor=S4)*(visitorscore&lt;homescore))</f>
        <v>5</v>
      </c>
      <c r="W4" s="16">
        <f t="shared" ref="W4" si="10">SUMIF(home,S4,homescore)+SUMIF(visitor,S4,visitorscore)</f>
        <v>0</v>
      </c>
      <c r="X4" s="17">
        <f t="shared" ref="X4" si="11">SUMIF(home,S4,visitorscore)+SUMIF(visitor,S4,homescore)</f>
        <v>55</v>
      </c>
      <c r="Y4" s="3">
        <f t="shared" ref="Y4:Y11" si="12">W4-X4</f>
        <v>-55</v>
      </c>
      <c r="Z4" s="23">
        <f t="shared" ref="Z4:Z11" si="13">IF(X4&gt;0,W4/X4,0)</f>
        <v>0</v>
      </c>
      <c r="AA4" s="16">
        <f t="shared" ref="AA4:AA11" si="14">2*U4</f>
        <v>0</v>
      </c>
      <c r="AB4" s="18">
        <f>W4+Z4*1000+Y4*10000+AA4*100000000+1</f>
        <v>-549999</v>
      </c>
      <c r="AC4" s="2">
        <f t="shared" ref="AC4:AC12" si="15">RANK(AB4,$AB$3:$AB$12)</f>
        <v>9</v>
      </c>
    </row>
    <row r="5" spans="1:29">
      <c r="A5" s="49" t="s">
        <v>104</v>
      </c>
      <c r="H5" s="12" t="str">
        <f>_xlfn.XLOOKUP(3,$AC$3:$AC$12,$S$3:$S$12)</f>
        <v>GLKS NADARZYN 7</v>
      </c>
      <c r="I5" s="12">
        <f t="shared" si="0"/>
        <v>9</v>
      </c>
      <c r="J5" s="12">
        <f t="shared" si="1"/>
        <v>7</v>
      </c>
      <c r="K5" s="12">
        <f t="shared" si="2"/>
        <v>2</v>
      </c>
      <c r="L5" s="12">
        <f t="shared" si="3"/>
        <v>92</v>
      </c>
      <c r="M5" s="12">
        <f t="shared" si="4"/>
        <v>29</v>
      </c>
      <c r="N5" s="12">
        <f t="shared" si="5"/>
        <v>63</v>
      </c>
      <c r="O5" s="21">
        <f>IF(Tabela14569[[#This Row],[STRACONE]]=0,0,Tabela14569[[#This Row],[ZDOBYTE]]/Tabela14569[[#This Row],[STRACONE]])</f>
        <v>3.1724137931034484</v>
      </c>
      <c r="P5" s="13">
        <f t="shared" si="6"/>
        <v>14</v>
      </c>
      <c r="S5" s="19" t="str">
        <f t="shared" si="7"/>
        <v>GLKS NADARZYN 7</v>
      </c>
      <c r="T5" s="15" cm="1">
        <f t="array" ref="T5">SUM((home=S5)*(ISNUMBER(homescore)),(visitor=S5)*(ISNUMBER(visitorscore)))</f>
        <v>9</v>
      </c>
      <c r="U5" s="3">
        <f t="array" ref="U5">SUM((home=S5)*(homescore&gt;visitorscore),(visitor=S5)*(visitorscore&gt;homescore))</f>
        <v>7</v>
      </c>
      <c r="V5" s="3">
        <f t="array" ref="V5">SUM((home=S5)*(homescore&lt;visitorscore),(visitor=S5)*(visitorscore&lt;homescore))</f>
        <v>2</v>
      </c>
      <c r="W5" s="16">
        <f t="shared" ref="W5" si="16">SUMIF(home,S5,homescore)+SUMIF(visitor,S5,visitorscore)</f>
        <v>92</v>
      </c>
      <c r="X5" s="17">
        <f t="shared" ref="X5" si="17">SUMIF(home,S5,visitorscore)+SUMIF(visitor,S5,homescore)</f>
        <v>29</v>
      </c>
      <c r="Y5" s="3">
        <f t="shared" si="12"/>
        <v>63</v>
      </c>
      <c r="Z5" s="23">
        <f t="shared" si="13"/>
        <v>3.1724137931034484</v>
      </c>
      <c r="AA5" s="16">
        <f t="shared" si="14"/>
        <v>14</v>
      </c>
      <c r="AB5" s="18">
        <f t="shared" ref="AB4:AB11" si="18">W5+Z5*1000+Y5*10000+AA5*100000000</f>
        <v>1400633264.4137931</v>
      </c>
      <c r="AC5" s="2">
        <f t="shared" si="15"/>
        <v>3</v>
      </c>
    </row>
    <row r="6" spans="1:29">
      <c r="A6" s="49" t="s">
        <v>105</v>
      </c>
      <c r="H6" s="12" t="str">
        <f>_xlfn.XLOOKUP(4,$AC$3:$AC$12,$S$3:$S$12)</f>
        <v>SPARTA GRODZISK MAZ. 4</v>
      </c>
      <c r="I6" s="12">
        <f t="shared" si="0"/>
        <v>9</v>
      </c>
      <c r="J6" s="12">
        <f t="shared" si="1"/>
        <v>6</v>
      </c>
      <c r="K6" s="12">
        <f t="shared" si="2"/>
        <v>3</v>
      </c>
      <c r="L6" s="12">
        <f t="shared" si="3"/>
        <v>90</v>
      </c>
      <c r="M6" s="12">
        <f t="shared" si="4"/>
        <v>35</v>
      </c>
      <c r="N6" s="12">
        <f t="shared" si="5"/>
        <v>55</v>
      </c>
      <c r="O6" s="21">
        <f>IF(Tabela14569[[#This Row],[STRACONE]]=0,0,Tabela14569[[#This Row],[ZDOBYTE]]/Tabela14569[[#This Row],[STRACONE]])</f>
        <v>2.5714285714285716</v>
      </c>
      <c r="P6" s="13">
        <f t="shared" si="6"/>
        <v>12</v>
      </c>
      <c r="S6" s="19" t="str">
        <f t="shared" si="7"/>
        <v>SPARTA GRODZISK MAZ. 6</v>
      </c>
      <c r="T6" s="15" cm="1">
        <f t="array" ref="T6">SUM((home=S6)*(ISNUMBER(homescore)),(visitor=S6)*(ISNUMBER(visitorscore)))</f>
        <v>9</v>
      </c>
      <c r="U6" s="3">
        <f t="array" ref="U6">SUM((home=S6)*(homescore&gt;visitorscore),(visitor=S6)*(visitorscore&gt;homescore))</f>
        <v>9</v>
      </c>
      <c r="V6" s="3">
        <f t="array" ref="V6">SUM((home=S6)*(homescore&lt;visitorscore),(visitor=S6)*(visitorscore&lt;homescore))</f>
        <v>0</v>
      </c>
      <c r="W6" s="16">
        <f t="shared" ref="W6" si="19">SUMIF(home,S6,homescore)+SUMIF(visitor,S6,visitorscore)</f>
        <v>99</v>
      </c>
      <c r="X6" s="17">
        <f t="shared" ref="X6" si="20">SUMIF(home,S6,visitorscore)+SUMIF(visitor,S6,homescore)</f>
        <v>32</v>
      </c>
      <c r="Y6" s="3">
        <f t="shared" si="12"/>
        <v>67</v>
      </c>
      <c r="Z6" s="23">
        <f t="shared" si="13"/>
        <v>3.09375</v>
      </c>
      <c r="AA6" s="16">
        <f t="shared" si="14"/>
        <v>18</v>
      </c>
      <c r="AB6" s="18">
        <f t="shared" si="18"/>
        <v>1800673192.75</v>
      </c>
      <c r="AC6" s="2">
        <f t="shared" si="15"/>
        <v>1</v>
      </c>
    </row>
    <row r="7" spans="1:29">
      <c r="A7" s="49" t="s">
        <v>106</v>
      </c>
      <c r="H7" s="12" t="str">
        <f>_xlfn.XLOOKUP(5,$AC$3:$AC$12,$S$3:$S$12)</f>
        <v>ORLĘTA RASZYN 4</v>
      </c>
      <c r="I7" s="12">
        <f t="shared" si="0"/>
        <v>9</v>
      </c>
      <c r="J7" s="12">
        <f t="shared" si="1"/>
        <v>5</v>
      </c>
      <c r="K7" s="12">
        <f t="shared" si="2"/>
        <v>4</v>
      </c>
      <c r="L7" s="12">
        <f t="shared" si="3"/>
        <v>72</v>
      </c>
      <c r="M7" s="12">
        <f t="shared" si="4"/>
        <v>44</v>
      </c>
      <c r="N7" s="12">
        <f t="shared" si="5"/>
        <v>28</v>
      </c>
      <c r="O7" s="21">
        <f>IF(Tabela14569[[#This Row],[STRACONE]]=0,0,Tabela14569[[#This Row],[ZDOBYTE]]/Tabela14569[[#This Row],[STRACONE]])</f>
        <v>1.6363636363636365</v>
      </c>
      <c r="P7" s="13">
        <f t="shared" si="6"/>
        <v>10</v>
      </c>
      <c r="S7" s="19" t="str">
        <f t="shared" si="7"/>
        <v>SPARTA GRODZISK MAZ. 4</v>
      </c>
      <c r="T7" s="15" cm="1">
        <f t="array" ref="T7">SUM((home=S7)*(ISNUMBER(homescore)),(visitor=S7)*(ISNUMBER(visitorscore)))</f>
        <v>9</v>
      </c>
      <c r="U7" s="3">
        <f t="array" ref="U7">SUM((home=S7)*(homescore&gt;visitorscore),(visitor=S7)*(visitorscore&gt;homescore))</f>
        <v>6</v>
      </c>
      <c r="V7" s="3">
        <f t="array" ref="V7">SUM((home=S7)*(homescore&lt;visitorscore),(visitor=S7)*(visitorscore&lt;homescore))</f>
        <v>3</v>
      </c>
      <c r="W7" s="16">
        <f t="shared" ref="W7" si="21">SUMIF(home,S7,homescore)+SUMIF(visitor,S7,visitorscore)</f>
        <v>90</v>
      </c>
      <c r="X7" s="17">
        <f t="shared" ref="X7" si="22">SUMIF(home,S7,visitorscore)+SUMIF(visitor,S7,homescore)</f>
        <v>35</v>
      </c>
      <c r="Y7" s="3">
        <f t="shared" si="12"/>
        <v>55</v>
      </c>
      <c r="Z7" s="23">
        <f t="shared" si="13"/>
        <v>2.5714285714285716</v>
      </c>
      <c r="AA7" s="16">
        <f t="shared" si="14"/>
        <v>12</v>
      </c>
      <c r="AB7" s="18">
        <f t="shared" si="18"/>
        <v>1200552661.4285715</v>
      </c>
      <c r="AC7" s="2">
        <f t="shared" si="15"/>
        <v>4</v>
      </c>
    </row>
    <row r="8" spans="1:29">
      <c r="A8" s="49" t="s">
        <v>107</v>
      </c>
      <c r="H8" s="12" t="str">
        <f>_xlfn.XLOOKUP(6,$AC$3:$AC$12,$S$3:$S$12)</f>
        <v>ORLĘTA RASZYN 7</v>
      </c>
      <c r="I8" s="12">
        <f t="shared" si="0"/>
        <v>9</v>
      </c>
      <c r="J8" s="12">
        <f t="shared" si="1"/>
        <v>0</v>
      </c>
      <c r="K8" s="12">
        <f t="shared" si="2"/>
        <v>5</v>
      </c>
      <c r="L8" s="12">
        <f t="shared" si="3"/>
        <v>0</v>
      </c>
      <c r="M8" s="12">
        <f t="shared" si="4"/>
        <v>55</v>
      </c>
      <c r="N8" s="12">
        <f t="shared" si="5"/>
        <v>-55</v>
      </c>
      <c r="O8" s="21">
        <f>IF(Tabela14569[[#This Row],[STRACONE]]=0,0,Tabela14569[[#This Row],[ZDOBYTE]]/Tabela14569[[#This Row],[STRACONE]])</f>
        <v>0</v>
      </c>
      <c r="P8" s="13">
        <f t="shared" si="6"/>
        <v>0</v>
      </c>
      <c r="S8" s="19" t="str">
        <f t="shared" si="7"/>
        <v>ORLĘTA RASZYN 4</v>
      </c>
      <c r="T8" s="15" cm="1">
        <f t="array" ref="T8">SUM((home=S8)*(ISNUMBER(homescore)),(visitor=S8)*(ISNUMBER(visitorscore)))</f>
        <v>9</v>
      </c>
      <c r="U8" s="3">
        <f t="array" ref="U8">SUM((home=S8)*(homescore&gt;visitorscore),(visitor=S8)*(visitorscore&gt;homescore))</f>
        <v>5</v>
      </c>
      <c r="V8" s="3">
        <f t="array" ref="V8">SUM((home=S8)*(homescore&lt;visitorscore),(visitor=S8)*(visitorscore&lt;homescore))</f>
        <v>4</v>
      </c>
      <c r="W8" s="16">
        <f t="shared" ref="W8" si="23">SUMIF(home,S8,homescore)+SUMIF(visitor,S8,visitorscore)</f>
        <v>72</v>
      </c>
      <c r="X8" s="17">
        <f t="shared" ref="X8" si="24">SUMIF(home,S8,visitorscore)+SUMIF(visitor,S8,homescore)</f>
        <v>44</v>
      </c>
      <c r="Y8" s="3">
        <f t="shared" si="12"/>
        <v>28</v>
      </c>
      <c r="Z8" s="23">
        <f t="shared" si="13"/>
        <v>1.6363636363636365</v>
      </c>
      <c r="AA8" s="16">
        <f t="shared" si="14"/>
        <v>10</v>
      </c>
      <c r="AB8" s="18">
        <f t="shared" si="18"/>
        <v>1000281708.3636364</v>
      </c>
      <c r="AC8" s="2">
        <f t="shared" si="15"/>
        <v>5</v>
      </c>
    </row>
    <row r="9" spans="1:29">
      <c r="A9" s="49" t="s">
        <v>108</v>
      </c>
      <c r="H9" s="12" t="str">
        <f>_xlfn.XLOOKUP(7,$AC$3:$AC$12,$S$3:$S$12)</f>
        <v>LEN ŻYRARDÓW 3</v>
      </c>
      <c r="I9" s="12">
        <f t="shared" si="0"/>
        <v>9</v>
      </c>
      <c r="J9" s="12">
        <f t="shared" si="1"/>
        <v>0</v>
      </c>
      <c r="K9" s="12">
        <f t="shared" si="2"/>
        <v>5</v>
      </c>
      <c r="L9" s="12">
        <f t="shared" si="3"/>
        <v>0</v>
      </c>
      <c r="M9" s="12">
        <f t="shared" si="4"/>
        <v>55</v>
      </c>
      <c r="N9" s="12">
        <f t="shared" si="5"/>
        <v>-55</v>
      </c>
      <c r="O9" s="21">
        <f>IF(Tabela14569[[#This Row],[STRACONE]]=0,0,Tabela14569[[#This Row],[ZDOBYTE]]/Tabela14569[[#This Row],[STRACONE]])</f>
        <v>0</v>
      </c>
      <c r="P9" s="13">
        <f t="shared" si="6"/>
        <v>0</v>
      </c>
      <c r="S9" s="19" t="str">
        <f t="shared" si="7"/>
        <v>LEN ŻYRARDÓW 3</v>
      </c>
      <c r="T9" s="15" cm="1">
        <f t="array" ref="T9">SUM((home=S9)*(ISNUMBER(homescore)),(visitor=S9)*(ISNUMBER(visitorscore)))</f>
        <v>9</v>
      </c>
      <c r="U9" s="3">
        <f t="array" ref="U9">SUM((home=S9)*(homescore&gt;visitorscore),(visitor=S9)*(visitorscore&gt;homescore))</f>
        <v>0</v>
      </c>
      <c r="V9" s="3">
        <f t="array" ref="V9">SUM((home=S9)*(homescore&lt;visitorscore),(visitor=S9)*(visitorscore&lt;homescore))</f>
        <v>5</v>
      </c>
      <c r="W9" s="16">
        <f t="shared" ref="W9" si="25">SUMIF(home,S9,homescore)+SUMIF(visitor,S9,visitorscore)</f>
        <v>0</v>
      </c>
      <c r="X9" s="17">
        <f t="shared" ref="X9" si="26">SUMIF(home,S9,visitorscore)+SUMIF(visitor,S9,homescore)</f>
        <v>55</v>
      </c>
      <c r="Y9" s="3">
        <f t="shared" si="12"/>
        <v>-55</v>
      </c>
      <c r="Z9" s="23">
        <f t="shared" si="13"/>
        <v>0</v>
      </c>
      <c r="AA9" s="16">
        <f t="shared" si="14"/>
        <v>0</v>
      </c>
      <c r="AB9" s="18">
        <f>W9+Z9*1000+Y9*10000+AA9*100000000+3</f>
        <v>-549997</v>
      </c>
      <c r="AC9" s="2">
        <f t="shared" si="15"/>
        <v>7</v>
      </c>
    </row>
    <row r="10" spans="1:29">
      <c r="A10" s="49" t="s">
        <v>109</v>
      </c>
      <c r="H10" s="12" t="str">
        <f>_xlfn.XLOOKUP(8,$AC$3:$AC$12,$S$3:$S$12)</f>
        <v>LEN ŻYRARDÓW 2</v>
      </c>
      <c r="I10" s="12">
        <f t="shared" si="0"/>
        <v>9</v>
      </c>
      <c r="J10" s="12">
        <f t="shared" si="1"/>
        <v>0</v>
      </c>
      <c r="K10" s="12">
        <f t="shared" si="2"/>
        <v>5</v>
      </c>
      <c r="L10" s="12">
        <f t="shared" si="3"/>
        <v>0</v>
      </c>
      <c r="M10" s="12">
        <f t="shared" si="4"/>
        <v>55</v>
      </c>
      <c r="N10" s="12">
        <f t="shared" si="5"/>
        <v>-55</v>
      </c>
      <c r="O10" s="21">
        <f>IF(Tabela14569[[#This Row],[STRACONE]]=0,0,Tabela14569[[#This Row],[ZDOBYTE]]/Tabela14569[[#This Row],[STRACONE]])</f>
        <v>0</v>
      </c>
      <c r="P10" s="13">
        <f t="shared" si="6"/>
        <v>0</v>
      </c>
      <c r="S10" s="19" t="str">
        <f t="shared" si="7"/>
        <v>GLKS NADARZYN 5</v>
      </c>
      <c r="T10" s="15" cm="1">
        <f t="array" ref="T10">SUM((home=S10)*(ISNUMBER(homescore)),(visitor=S10)*(ISNUMBER(visitorscore)))</f>
        <v>9</v>
      </c>
      <c r="U10" s="3">
        <f t="array" ref="U10">SUM((home=S10)*(homescore&gt;visitorscore),(visitor=S10)*(visitorscore&gt;homescore))</f>
        <v>0</v>
      </c>
      <c r="V10" s="3">
        <f t="array" ref="V10">SUM((home=S10)*(homescore&lt;visitorscore),(visitor=S10)*(visitorscore&lt;homescore))</f>
        <v>5</v>
      </c>
      <c r="W10" s="16">
        <f t="shared" ref="W10" si="27">SUMIF(home,S10,homescore)+SUMIF(visitor,S10,visitorscore)</f>
        <v>0</v>
      </c>
      <c r="X10" s="17">
        <f t="shared" ref="X10" si="28">SUMIF(home,S10,visitorscore)+SUMIF(visitor,S10,homescore)</f>
        <v>55</v>
      </c>
      <c r="Y10" s="3">
        <f t="shared" si="12"/>
        <v>-55</v>
      </c>
      <c r="Z10" s="23">
        <f t="shared" si="13"/>
        <v>0</v>
      </c>
      <c r="AA10" s="16">
        <f t="shared" si="14"/>
        <v>0</v>
      </c>
      <c r="AB10" s="18">
        <f t="shared" si="18"/>
        <v>-550000</v>
      </c>
      <c r="AC10" s="2">
        <f t="shared" si="15"/>
        <v>10</v>
      </c>
    </row>
    <row r="11" spans="1:29">
      <c r="A11" s="49" t="s">
        <v>110</v>
      </c>
      <c r="H11" s="12" t="str">
        <f>_xlfn.XLOOKUP(9,$AC$3:$AC$12,$S$3:$S$12)</f>
        <v>ISKRA WARSZAWA 10</v>
      </c>
      <c r="I11" s="12">
        <f t="shared" si="0"/>
        <v>9</v>
      </c>
      <c r="J11" s="12">
        <f t="shared" si="1"/>
        <v>0</v>
      </c>
      <c r="K11" s="12">
        <f t="shared" si="2"/>
        <v>5</v>
      </c>
      <c r="L11" s="12">
        <f t="shared" si="3"/>
        <v>0</v>
      </c>
      <c r="M11" s="12">
        <f t="shared" si="4"/>
        <v>55</v>
      </c>
      <c r="N11" s="12">
        <f t="shared" si="5"/>
        <v>-55</v>
      </c>
      <c r="O11" s="21">
        <f>IF(Tabela14569[[#This Row],[STRACONE]]=0,0,Tabela14569[[#This Row],[ZDOBYTE]]/Tabela14569[[#This Row],[STRACONE]])</f>
        <v>0</v>
      </c>
      <c r="P11" s="13">
        <f t="shared" si="6"/>
        <v>0</v>
      </c>
      <c r="S11" s="19" t="str">
        <f>A12</f>
        <v>LEN ŻYRARDÓW 2</v>
      </c>
      <c r="T11" s="15" cm="1">
        <f t="array" ref="T11">SUM((home=S11)*(ISNUMBER(homescore)),(visitor=S11)*(ISNUMBER(visitorscore)))</f>
        <v>9</v>
      </c>
      <c r="U11" s="3">
        <f t="array" ref="U11">SUM((home=S11)*(homescore&gt;visitorscore),(visitor=S11)*(visitorscore&gt;homescore))</f>
        <v>0</v>
      </c>
      <c r="V11" s="3">
        <f t="array" ref="V11">SUM((home=S11)*(homescore&lt;visitorscore),(visitor=S11)*(visitorscore&lt;homescore))</f>
        <v>5</v>
      </c>
      <c r="W11" s="16">
        <f t="shared" ref="W11" si="29">SUMIF(home,S11,homescore)+SUMIF(visitor,S11,visitorscore)</f>
        <v>0</v>
      </c>
      <c r="X11" s="17">
        <f t="shared" ref="X11" si="30">SUMIF(home,S11,visitorscore)+SUMIF(visitor,S11,homescore)</f>
        <v>55</v>
      </c>
      <c r="Y11" s="3">
        <f t="shared" si="12"/>
        <v>-55</v>
      </c>
      <c r="Z11" s="23">
        <f t="shared" si="13"/>
        <v>0</v>
      </c>
      <c r="AA11" s="16">
        <f t="shared" si="14"/>
        <v>0</v>
      </c>
      <c r="AB11" s="18">
        <f>W11+Z11*1000+Y11*10000+AA11*100000000+2</f>
        <v>-549998</v>
      </c>
      <c r="AC11" s="2">
        <f t="shared" si="15"/>
        <v>8</v>
      </c>
    </row>
    <row r="12" spans="1:29">
      <c r="A12" s="49" t="s">
        <v>111</v>
      </c>
      <c r="H12" s="12" t="str">
        <f>_xlfn.XLOOKUP(10,$AC$3:$AC$12,$S$3:$S$12)</f>
        <v>GLKS NADARZYN 5</v>
      </c>
      <c r="I12" s="12">
        <f t="shared" si="0"/>
        <v>9</v>
      </c>
      <c r="J12" s="12">
        <f t="shared" si="1"/>
        <v>0</v>
      </c>
      <c r="K12" s="12">
        <f t="shared" si="2"/>
        <v>5</v>
      </c>
      <c r="L12" s="12">
        <f t="shared" si="3"/>
        <v>0</v>
      </c>
      <c r="M12" s="12">
        <f t="shared" si="4"/>
        <v>55</v>
      </c>
      <c r="N12" s="12">
        <f t="shared" si="5"/>
        <v>-55</v>
      </c>
      <c r="O12" s="21">
        <f>IF(Tabela14569[[#This Row],[STRACONE]]=0,0,Tabela14569[[#This Row],[ZDOBYTE]]/Tabela14569[[#This Row],[STRACONE]])</f>
        <v>0</v>
      </c>
      <c r="P12" s="13">
        <f t="shared" si="6"/>
        <v>0</v>
      </c>
      <c r="S12" s="24" t="str">
        <f t="shared" ref="S12" si="31">A13</f>
        <v>ORLĘTA RASZYN 7</v>
      </c>
      <c r="T12" s="15" cm="1">
        <f t="array" ref="T12">SUM((home=S12)*(ISNUMBER(homescore)),(visitor=S12)*(ISNUMBER(visitorscore)))</f>
        <v>9</v>
      </c>
      <c r="U12" s="3">
        <f t="array" ref="U12">SUM((home=S12)*(homescore&gt;visitorscore),(visitor=S12)*(visitorscore&gt;homescore))</f>
        <v>0</v>
      </c>
      <c r="V12" s="3">
        <f t="array" ref="V12">SUM((home=S12)*(homescore&lt;visitorscore),(visitor=S12)*(visitorscore&lt;homescore))</f>
        <v>5</v>
      </c>
      <c r="W12" s="16">
        <f t="shared" ref="W12" si="32">SUMIF(home,S12,homescore)+SUMIF(visitor,S12,visitorscore)</f>
        <v>0</v>
      </c>
      <c r="X12" s="17">
        <f t="shared" ref="X12" si="33">SUMIF(home,S12,visitorscore)+SUMIF(visitor,S12,homescore)</f>
        <v>55</v>
      </c>
      <c r="Y12" s="3">
        <f>W12-X12</f>
        <v>-55</v>
      </c>
      <c r="Z12" s="23">
        <f>IF(X12&gt;0,W12/X12,0)</f>
        <v>0</v>
      </c>
      <c r="AA12" s="16">
        <f>2*U12</f>
        <v>0</v>
      </c>
      <c r="AB12" s="18">
        <f>W12+Z12*1000+Y12*10000+AA12*100000000+4</f>
        <v>-549996</v>
      </c>
      <c r="AC12" s="2">
        <f t="shared" si="15"/>
        <v>6</v>
      </c>
    </row>
    <row r="13" spans="1:29">
      <c r="A13" s="49" t="s">
        <v>112</v>
      </c>
    </row>
    <row r="15" spans="1:29">
      <c r="H15"/>
      <c r="I15"/>
      <c r="J15"/>
      <c r="K15"/>
      <c r="L15"/>
      <c r="M15"/>
      <c r="N15"/>
      <c r="O15"/>
      <c r="P15"/>
    </row>
    <row r="16" spans="1:29">
      <c r="A16" s="10" t="s">
        <v>29</v>
      </c>
      <c r="B16" s="10" t="s">
        <v>30</v>
      </c>
      <c r="H16"/>
      <c r="I16"/>
      <c r="J16"/>
      <c r="K16"/>
      <c r="L16"/>
      <c r="M16"/>
      <c r="N16"/>
      <c r="O16"/>
      <c r="P16"/>
    </row>
    <row r="17" spans="1:29">
      <c r="A17" s="20" t="str">
        <f>A4</f>
        <v>RCS RADOM 6</v>
      </c>
      <c r="B17" s="20" t="str">
        <f>A13</f>
        <v>ORLĘTA RASZYN 7</v>
      </c>
      <c r="C17" s="12">
        <v>11</v>
      </c>
      <c r="D17" s="12" t="s">
        <v>31</v>
      </c>
      <c r="E17" s="12">
        <v>0</v>
      </c>
      <c r="H17"/>
      <c r="I17"/>
      <c r="J17"/>
      <c r="K17"/>
      <c r="L17"/>
      <c r="M17"/>
      <c r="N17"/>
      <c r="O17"/>
      <c r="P17"/>
    </row>
    <row r="18" spans="1:29">
      <c r="A18" s="20" t="str">
        <f>A5</f>
        <v>ISKRA WARSZAWA 10</v>
      </c>
      <c r="B18" s="20" t="str">
        <f>A12</f>
        <v>LEN ŻYRARDÓW 2</v>
      </c>
      <c r="C18" s="12">
        <v>0</v>
      </c>
      <c r="D18" s="12" t="s">
        <v>31</v>
      </c>
      <c r="E18" s="12">
        <v>0</v>
      </c>
      <c r="F18" s="3"/>
      <c r="H18"/>
      <c r="I18"/>
      <c r="J18"/>
      <c r="K18"/>
      <c r="L18"/>
      <c r="M18"/>
      <c r="N18"/>
      <c r="O18"/>
      <c r="P18"/>
    </row>
    <row r="19" spans="1:29">
      <c r="A19" s="20" t="str">
        <f>A6</f>
        <v>GLKS NADARZYN 7</v>
      </c>
      <c r="B19" s="20" t="str">
        <f>A11</f>
        <v>GLKS NADARZYN 5</v>
      </c>
      <c r="C19" s="12">
        <v>11</v>
      </c>
      <c r="D19" s="12" t="s">
        <v>31</v>
      </c>
      <c r="E19" s="12">
        <v>0</v>
      </c>
      <c r="F19" s="3"/>
      <c r="H19"/>
      <c r="I19"/>
      <c r="J19"/>
      <c r="K19"/>
      <c r="L19"/>
      <c r="M19"/>
      <c r="N19"/>
      <c r="O19"/>
      <c r="P19"/>
    </row>
    <row r="20" spans="1:29">
      <c r="A20" s="20" t="str">
        <f>A7</f>
        <v>SPARTA GRODZISK MAZ. 6</v>
      </c>
      <c r="B20" s="20" t="str">
        <f>A10</f>
        <v>LEN ŻYRARDÓW 3</v>
      </c>
      <c r="C20" s="12">
        <v>11</v>
      </c>
      <c r="D20" s="12" t="s">
        <v>31</v>
      </c>
      <c r="E20" s="12">
        <v>0</v>
      </c>
      <c r="F20" s="3"/>
      <c r="H20"/>
      <c r="I20"/>
      <c r="J20"/>
      <c r="K20"/>
      <c r="L20"/>
      <c r="M20"/>
      <c r="N20"/>
      <c r="O20"/>
      <c r="P20"/>
    </row>
    <row r="21" spans="1:29">
      <c r="A21" s="20" t="str">
        <f>A8</f>
        <v>SPARTA GRODZISK MAZ. 4</v>
      </c>
      <c r="B21" s="20" t="str">
        <f>A9</f>
        <v>ORLĘTA RASZYN 4</v>
      </c>
      <c r="C21" s="12">
        <v>11</v>
      </c>
      <c r="D21" s="12" t="s">
        <v>31</v>
      </c>
      <c r="E21" s="12">
        <v>2</v>
      </c>
      <c r="F21" s="3"/>
      <c r="H21"/>
      <c r="I21"/>
      <c r="J21"/>
      <c r="K21"/>
      <c r="L21"/>
      <c r="M21"/>
      <c r="N21"/>
      <c r="O21"/>
      <c r="P21"/>
    </row>
    <row r="22" spans="1:29">
      <c r="A22" s="20" t="str">
        <f>A13</f>
        <v>ORLĘTA RASZYN 7</v>
      </c>
      <c r="B22" s="20" t="str">
        <f>A9</f>
        <v>ORLĘTA RASZYN 4</v>
      </c>
      <c r="C22" s="12">
        <v>0</v>
      </c>
      <c r="D22" s="12" t="s">
        <v>31</v>
      </c>
      <c r="E22" s="12">
        <v>11</v>
      </c>
      <c r="F22" s="3"/>
      <c r="H22"/>
      <c r="I22"/>
      <c r="J22"/>
      <c r="K22"/>
      <c r="L22"/>
      <c r="M22"/>
      <c r="N22"/>
      <c r="O22"/>
      <c r="P22"/>
    </row>
    <row r="23" spans="1:29">
      <c r="A23" s="20" t="str">
        <f>A10</f>
        <v>LEN ŻYRARDÓW 3</v>
      </c>
      <c r="B23" s="20" t="str">
        <f>A8</f>
        <v>SPARTA GRODZISK MAZ. 4</v>
      </c>
      <c r="C23" s="12">
        <v>0</v>
      </c>
      <c r="D23" s="12" t="s">
        <v>31</v>
      </c>
      <c r="E23" s="12">
        <v>11</v>
      </c>
      <c r="F23" s="3" t="s">
        <v>32</v>
      </c>
      <c r="H23"/>
      <c r="I23"/>
      <c r="J23"/>
      <c r="K23"/>
      <c r="L23"/>
      <c r="M23"/>
      <c r="N23"/>
      <c r="O23"/>
      <c r="P23"/>
    </row>
    <row r="24" spans="1:29" s="3" customFormat="1">
      <c r="A24" s="20" t="str">
        <f>A11</f>
        <v>GLKS NADARZYN 5</v>
      </c>
      <c r="B24" s="20" t="str">
        <f>A7</f>
        <v>SPARTA GRODZISK MAZ. 6</v>
      </c>
      <c r="C24" s="12">
        <v>0</v>
      </c>
      <c r="D24" s="12" t="s">
        <v>31</v>
      </c>
      <c r="E24" s="12">
        <v>11</v>
      </c>
      <c r="H24"/>
      <c r="I24"/>
      <c r="J24"/>
      <c r="K24"/>
      <c r="L24"/>
      <c r="M24"/>
      <c r="N24"/>
      <c r="O24"/>
      <c r="P2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3" customFormat="1">
      <c r="A25" s="20" t="str">
        <f>A12</f>
        <v>LEN ŻYRARDÓW 2</v>
      </c>
      <c r="B25" s="20" t="str">
        <f>A6</f>
        <v>GLKS NADARZYN 7</v>
      </c>
      <c r="C25" s="12">
        <v>0</v>
      </c>
      <c r="D25" s="12" t="s">
        <v>31</v>
      </c>
      <c r="E25" s="12">
        <v>11</v>
      </c>
      <c r="F25" s="2"/>
      <c r="H25"/>
      <c r="I25"/>
      <c r="J25"/>
      <c r="K25"/>
      <c r="L25"/>
      <c r="M25"/>
      <c r="N25"/>
      <c r="O25"/>
      <c r="P2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3" customFormat="1">
      <c r="A26" s="20" t="str">
        <f t="shared" ref="A26:A31" si="34">A4</f>
        <v>RCS RADOM 6</v>
      </c>
      <c r="B26" s="20" t="str">
        <f>A5</f>
        <v>ISKRA WARSZAWA 10</v>
      </c>
      <c r="C26" s="12">
        <v>11</v>
      </c>
      <c r="D26" s="12" t="s">
        <v>31</v>
      </c>
      <c r="E26" s="12">
        <v>0</v>
      </c>
      <c r="F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3" customFormat="1">
      <c r="A27" s="20" t="str">
        <f t="shared" si="34"/>
        <v>ISKRA WARSZAWA 10</v>
      </c>
      <c r="B27" s="20" t="str">
        <f>A13</f>
        <v>ORLĘTA RASZYN 7</v>
      </c>
      <c r="C27" s="12">
        <v>0</v>
      </c>
      <c r="D27" s="12" t="s">
        <v>31</v>
      </c>
      <c r="E27" s="12">
        <v>0</v>
      </c>
      <c r="F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3" customFormat="1">
      <c r="A28" s="20" t="str">
        <f t="shared" si="34"/>
        <v>GLKS NADARZYN 7</v>
      </c>
      <c r="B28" s="20" t="str">
        <f>A4</f>
        <v>RCS RADOM 6</v>
      </c>
      <c r="C28" s="12">
        <v>6</v>
      </c>
      <c r="D28" s="12" t="s">
        <v>31</v>
      </c>
      <c r="E28" s="12">
        <v>11</v>
      </c>
      <c r="F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3" customFormat="1">
      <c r="A29" s="20" t="str">
        <f t="shared" si="34"/>
        <v>SPARTA GRODZISK MAZ. 6</v>
      </c>
      <c r="B29" s="20" t="str">
        <f>A12</f>
        <v>LEN ŻYRARDÓW 2</v>
      </c>
      <c r="C29" s="12">
        <v>11</v>
      </c>
      <c r="D29" s="12" t="s">
        <v>31</v>
      </c>
      <c r="E29" s="12">
        <v>0</v>
      </c>
      <c r="F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0" t="str">
        <f t="shared" si="34"/>
        <v>SPARTA GRODZISK MAZ. 4</v>
      </c>
      <c r="B30" s="20" t="str">
        <f>A11</f>
        <v>GLKS NADARZYN 5</v>
      </c>
      <c r="C30" s="12">
        <v>11</v>
      </c>
      <c r="D30" s="12" t="s">
        <v>31</v>
      </c>
      <c r="E30" s="12">
        <v>0</v>
      </c>
    </row>
    <row r="31" spans="1:29">
      <c r="A31" s="20" t="str">
        <f t="shared" si="34"/>
        <v>ORLĘTA RASZYN 4</v>
      </c>
      <c r="B31" s="20" t="str">
        <f>A10</f>
        <v>LEN ŻYRARDÓW 3</v>
      </c>
      <c r="C31" s="12">
        <v>11</v>
      </c>
      <c r="D31" s="12" t="s">
        <v>31</v>
      </c>
      <c r="E31" s="12">
        <v>0</v>
      </c>
    </row>
    <row r="32" spans="1:29">
      <c r="A32" s="20" t="str">
        <f>A13</f>
        <v>ORLĘTA RASZYN 7</v>
      </c>
      <c r="B32" s="20" t="str">
        <f>A10</f>
        <v>LEN ŻYRARDÓW 3</v>
      </c>
      <c r="C32" s="12">
        <v>0</v>
      </c>
      <c r="D32" s="12" t="s">
        <v>31</v>
      </c>
      <c r="E32" s="12">
        <v>0</v>
      </c>
    </row>
    <row r="33" spans="1:5">
      <c r="A33" s="20" t="str">
        <f>A12</f>
        <v>LEN ŻYRARDÓW 2</v>
      </c>
      <c r="B33" s="20" t="str">
        <f>A8</f>
        <v>SPARTA GRODZISK MAZ. 4</v>
      </c>
      <c r="C33" s="12">
        <v>0</v>
      </c>
      <c r="D33" s="12" t="s">
        <v>31</v>
      </c>
      <c r="E33" s="12">
        <v>11</v>
      </c>
    </row>
    <row r="34" spans="1:5">
      <c r="A34" s="20" t="str">
        <f>A11</f>
        <v>GLKS NADARZYN 5</v>
      </c>
      <c r="B34" s="20" t="str">
        <f>A9</f>
        <v>ORLĘTA RASZYN 4</v>
      </c>
      <c r="C34" s="12">
        <v>0</v>
      </c>
      <c r="D34" s="12" t="s">
        <v>31</v>
      </c>
      <c r="E34" s="12">
        <v>11</v>
      </c>
    </row>
    <row r="35" spans="1:5">
      <c r="A35" s="20" t="str">
        <f t="shared" ref="A35:A41" si="35">A4</f>
        <v>RCS RADOM 6</v>
      </c>
      <c r="B35" s="20" t="str">
        <f>A7</f>
        <v>SPARTA GRODZISK MAZ. 6</v>
      </c>
      <c r="C35" s="12">
        <v>7</v>
      </c>
      <c r="D35" s="12" t="s">
        <v>31</v>
      </c>
      <c r="E35" s="12">
        <v>11</v>
      </c>
    </row>
    <row r="36" spans="1:5">
      <c r="A36" s="20" t="str">
        <f t="shared" si="35"/>
        <v>ISKRA WARSZAWA 10</v>
      </c>
      <c r="B36" s="20" t="str">
        <f>A6</f>
        <v>GLKS NADARZYN 7</v>
      </c>
      <c r="C36" s="12">
        <v>0</v>
      </c>
      <c r="D36" s="12" t="s">
        <v>31</v>
      </c>
      <c r="E36" s="12">
        <v>11</v>
      </c>
    </row>
    <row r="37" spans="1:5">
      <c r="A37" s="20" t="str">
        <f t="shared" si="35"/>
        <v>GLKS NADARZYN 7</v>
      </c>
      <c r="B37" s="20" t="str">
        <f>A13</f>
        <v>ORLĘTA RASZYN 7</v>
      </c>
      <c r="C37" s="12">
        <v>11</v>
      </c>
      <c r="D37" s="12" t="s">
        <v>31</v>
      </c>
      <c r="E37" s="12">
        <v>0</v>
      </c>
    </row>
    <row r="38" spans="1:5">
      <c r="A38" s="20" t="str">
        <f t="shared" si="35"/>
        <v>SPARTA GRODZISK MAZ. 6</v>
      </c>
      <c r="B38" s="20" t="str">
        <f>A5</f>
        <v>ISKRA WARSZAWA 10</v>
      </c>
      <c r="C38" s="12">
        <v>11</v>
      </c>
      <c r="D38" s="12" t="s">
        <v>31</v>
      </c>
      <c r="E38" s="12">
        <v>0</v>
      </c>
    </row>
    <row r="39" spans="1:5">
      <c r="A39" s="20" t="str">
        <f t="shared" si="35"/>
        <v>SPARTA GRODZISK MAZ. 4</v>
      </c>
      <c r="B39" s="20" t="str">
        <f>A4</f>
        <v>RCS RADOM 6</v>
      </c>
      <c r="C39" s="12">
        <v>9</v>
      </c>
      <c r="D39" s="12" t="s">
        <v>31</v>
      </c>
      <c r="E39" s="12">
        <v>11</v>
      </c>
    </row>
    <row r="40" spans="1:5">
      <c r="A40" s="20" t="str">
        <f t="shared" si="35"/>
        <v>ORLĘTA RASZYN 4</v>
      </c>
      <c r="B40" s="20" t="str">
        <f>A12</f>
        <v>LEN ŻYRARDÓW 2</v>
      </c>
      <c r="C40" s="12">
        <v>11</v>
      </c>
      <c r="D40" s="12" t="s">
        <v>31</v>
      </c>
      <c r="E40" s="12">
        <v>0</v>
      </c>
    </row>
    <row r="41" spans="1:5">
      <c r="A41" s="20" t="str">
        <f t="shared" si="35"/>
        <v>LEN ŻYRARDÓW 3</v>
      </c>
      <c r="B41" s="20" t="str">
        <f>A11</f>
        <v>GLKS NADARZYN 5</v>
      </c>
      <c r="C41" s="12">
        <v>0</v>
      </c>
      <c r="D41" s="12" t="s">
        <v>31</v>
      </c>
      <c r="E41" s="12">
        <v>0</v>
      </c>
    </row>
    <row r="42" spans="1:5">
      <c r="A42" s="20" t="str">
        <f>A13</f>
        <v>ORLĘTA RASZYN 7</v>
      </c>
      <c r="B42" s="20" t="str">
        <f>A11</f>
        <v>GLKS NADARZYN 5</v>
      </c>
      <c r="C42" s="12">
        <v>0</v>
      </c>
      <c r="D42" s="12" t="s">
        <v>31</v>
      </c>
      <c r="E42" s="12">
        <v>0</v>
      </c>
    </row>
    <row r="43" spans="1:5">
      <c r="A43" s="20" t="str">
        <f>A12</f>
        <v>LEN ŻYRARDÓW 2</v>
      </c>
      <c r="B43" s="20" t="str">
        <f>A10</f>
        <v>LEN ŻYRARDÓW 3</v>
      </c>
      <c r="C43" s="12">
        <v>0</v>
      </c>
      <c r="D43" s="12" t="s">
        <v>31</v>
      </c>
      <c r="E43" s="12">
        <v>0</v>
      </c>
    </row>
    <row r="44" spans="1:5">
      <c r="A44" s="20" t="str">
        <f t="shared" ref="A44:A51" si="36">A4</f>
        <v>RCS RADOM 6</v>
      </c>
      <c r="B44" s="20" t="str">
        <f>A9</f>
        <v>ORLĘTA RASZYN 4</v>
      </c>
      <c r="C44" s="12">
        <v>11</v>
      </c>
      <c r="D44" s="12" t="s">
        <v>31</v>
      </c>
      <c r="E44" s="12">
        <v>7</v>
      </c>
    </row>
    <row r="45" spans="1:5">
      <c r="A45" s="20" t="str">
        <f t="shared" si="36"/>
        <v>ISKRA WARSZAWA 10</v>
      </c>
      <c r="B45" s="20" t="str">
        <f>A8</f>
        <v>SPARTA GRODZISK MAZ. 4</v>
      </c>
      <c r="C45" s="12">
        <v>0</v>
      </c>
      <c r="D45" s="12" t="s">
        <v>31</v>
      </c>
      <c r="E45" s="12">
        <v>11</v>
      </c>
    </row>
    <row r="46" spans="1:5">
      <c r="A46" s="20" t="str">
        <f t="shared" si="36"/>
        <v>GLKS NADARZYN 7</v>
      </c>
      <c r="B46" s="20" t="str">
        <f>A7</f>
        <v>SPARTA GRODZISK MAZ. 6</v>
      </c>
      <c r="C46" s="12">
        <v>9</v>
      </c>
      <c r="D46" s="12" t="s">
        <v>31</v>
      </c>
      <c r="E46" s="12">
        <v>11</v>
      </c>
    </row>
    <row r="47" spans="1:5">
      <c r="A47" s="20" t="str">
        <f t="shared" si="36"/>
        <v>SPARTA GRODZISK MAZ. 6</v>
      </c>
      <c r="B47" s="20" t="str">
        <f>A13</f>
        <v>ORLĘTA RASZYN 7</v>
      </c>
      <c r="C47" s="12">
        <v>11</v>
      </c>
      <c r="D47" s="12" t="s">
        <v>31</v>
      </c>
      <c r="E47" s="12">
        <v>0</v>
      </c>
    </row>
    <row r="48" spans="1:5">
      <c r="A48" s="20" t="str">
        <f t="shared" si="36"/>
        <v>SPARTA GRODZISK MAZ. 4</v>
      </c>
      <c r="B48" s="20" t="str">
        <f>A6</f>
        <v>GLKS NADARZYN 7</v>
      </c>
      <c r="C48" s="12">
        <v>7</v>
      </c>
      <c r="D48" s="12" t="s">
        <v>31</v>
      </c>
      <c r="E48" s="12">
        <v>11</v>
      </c>
    </row>
    <row r="49" spans="1:5">
      <c r="A49" s="20" t="str">
        <f t="shared" si="36"/>
        <v>ORLĘTA RASZYN 4</v>
      </c>
      <c r="B49" s="20" t="str">
        <f>A5</f>
        <v>ISKRA WARSZAWA 10</v>
      </c>
      <c r="C49" s="12">
        <v>11</v>
      </c>
      <c r="D49" s="12" t="s">
        <v>31</v>
      </c>
      <c r="E49" s="12">
        <v>0</v>
      </c>
    </row>
    <row r="50" spans="1:5">
      <c r="A50" s="20" t="str">
        <f t="shared" si="36"/>
        <v>LEN ŻYRARDÓW 3</v>
      </c>
      <c r="B50" s="20" t="str">
        <f>A4</f>
        <v>RCS RADOM 6</v>
      </c>
      <c r="C50" s="12">
        <v>0</v>
      </c>
      <c r="D50" s="12" t="s">
        <v>31</v>
      </c>
      <c r="E50" s="12">
        <v>11</v>
      </c>
    </row>
    <row r="51" spans="1:5">
      <c r="A51" s="20" t="str">
        <f t="shared" si="36"/>
        <v>GLKS NADARZYN 5</v>
      </c>
      <c r="B51" s="20" t="str">
        <f>A12</f>
        <v>LEN ŻYRARDÓW 2</v>
      </c>
      <c r="C51" s="12">
        <v>0</v>
      </c>
      <c r="D51" s="12" t="s">
        <v>31</v>
      </c>
      <c r="E51" s="12">
        <v>0</v>
      </c>
    </row>
    <row r="52" spans="1:5">
      <c r="A52" s="20" t="str">
        <f>A13</f>
        <v>ORLĘTA RASZYN 7</v>
      </c>
      <c r="B52" s="20" t="str">
        <f>A12</f>
        <v>LEN ŻYRARDÓW 2</v>
      </c>
      <c r="C52" s="12">
        <v>0</v>
      </c>
      <c r="D52" s="12" t="s">
        <v>31</v>
      </c>
      <c r="E52" s="12">
        <v>0</v>
      </c>
    </row>
    <row r="53" spans="1:5">
      <c r="A53" s="20" t="str">
        <f t="shared" ref="A53:A61" si="37">A4</f>
        <v>RCS RADOM 6</v>
      </c>
      <c r="B53" s="20" t="str">
        <f>A11</f>
        <v>GLKS NADARZYN 5</v>
      </c>
      <c r="C53" s="12">
        <v>11</v>
      </c>
      <c r="D53" s="12" t="s">
        <v>31</v>
      </c>
      <c r="E53" s="12">
        <v>0</v>
      </c>
    </row>
    <row r="54" spans="1:5">
      <c r="A54" s="20" t="str">
        <f t="shared" si="37"/>
        <v>ISKRA WARSZAWA 10</v>
      </c>
      <c r="B54" s="20" t="str">
        <f>A10</f>
        <v>LEN ŻYRARDÓW 3</v>
      </c>
      <c r="C54" s="12">
        <v>0</v>
      </c>
      <c r="D54" s="12" t="s">
        <v>31</v>
      </c>
      <c r="E54" s="12">
        <v>0</v>
      </c>
    </row>
    <row r="55" spans="1:5">
      <c r="A55" s="20" t="str">
        <f t="shared" si="37"/>
        <v>GLKS NADARZYN 7</v>
      </c>
      <c r="B55" s="20" t="str">
        <f>A9</f>
        <v>ORLĘTA RASZYN 4</v>
      </c>
      <c r="C55" s="12">
        <v>11</v>
      </c>
      <c r="D55" s="12" t="s">
        <v>31</v>
      </c>
      <c r="E55" s="12">
        <v>0</v>
      </c>
    </row>
    <row r="56" spans="1:5">
      <c r="A56" s="20" t="str">
        <f t="shared" si="37"/>
        <v>SPARTA GRODZISK MAZ. 6</v>
      </c>
      <c r="B56" s="20" t="str">
        <f>A8</f>
        <v>SPARTA GRODZISK MAZ. 4</v>
      </c>
      <c r="C56" s="12">
        <v>11</v>
      </c>
      <c r="D56" s="12" t="s">
        <v>31</v>
      </c>
      <c r="E56" s="12">
        <v>8</v>
      </c>
    </row>
    <row r="57" spans="1:5">
      <c r="A57" s="20" t="str">
        <f t="shared" si="37"/>
        <v>SPARTA GRODZISK MAZ. 4</v>
      </c>
      <c r="B57" s="20" t="str">
        <f>A13</f>
        <v>ORLĘTA RASZYN 7</v>
      </c>
      <c r="C57" s="12">
        <v>11</v>
      </c>
      <c r="D57" s="12" t="s">
        <v>31</v>
      </c>
      <c r="E57" s="12">
        <v>0</v>
      </c>
    </row>
    <row r="58" spans="1:5">
      <c r="A58" s="20" t="str">
        <f t="shared" si="37"/>
        <v>ORLĘTA RASZYN 4</v>
      </c>
      <c r="B58" s="20" t="str">
        <f>A7</f>
        <v>SPARTA GRODZISK MAZ. 6</v>
      </c>
      <c r="C58" s="12">
        <v>8</v>
      </c>
      <c r="D58" s="12" t="s">
        <v>31</v>
      </c>
      <c r="E58" s="12">
        <v>11</v>
      </c>
    </row>
    <row r="59" spans="1:5">
      <c r="A59" s="20" t="str">
        <f t="shared" si="37"/>
        <v>LEN ŻYRARDÓW 3</v>
      </c>
      <c r="B59" s="20" t="str">
        <f>A6</f>
        <v>GLKS NADARZYN 7</v>
      </c>
      <c r="C59" s="12">
        <v>0</v>
      </c>
      <c r="D59" s="12" t="s">
        <v>31</v>
      </c>
      <c r="E59" s="12">
        <v>11</v>
      </c>
    </row>
    <row r="60" spans="1:5">
      <c r="A60" s="20" t="str">
        <f t="shared" si="37"/>
        <v>GLKS NADARZYN 5</v>
      </c>
      <c r="B60" s="20" t="str">
        <f>A5</f>
        <v>ISKRA WARSZAWA 10</v>
      </c>
      <c r="C60" s="12">
        <v>0</v>
      </c>
      <c r="D60" s="12" t="s">
        <v>31</v>
      </c>
      <c r="E60" s="12">
        <v>0</v>
      </c>
    </row>
    <row r="61" spans="1:5">
      <c r="A61" s="20" t="str">
        <f t="shared" si="37"/>
        <v>LEN ŻYRARDÓW 2</v>
      </c>
      <c r="B61" s="20" t="str">
        <f>A4</f>
        <v>RCS RADOM 6</v>
      </c>
      <c r="C61" s="12">
        <v>0</v>
      </c>
      <c r="D61" s="12" t="s">
        <v>31</v>
      </c>
      <c r="E61" s="12">
        <v>11</v>
      </c>
    </row>
  </sheetData>
  <autoFilter ref="A16:B61" xr:uid="{0BFFC1BA-F6DC-4669-9EBC-5107D19C20E4}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boleslaw.tekielski</dc:creator>
  <cp:keywords/>
  <dc:description/>
  <cp:lastModifiedBy/>
  <cp:revision/>
  <dcterms:created xsi:type="dcterms:W3CDTF">2015-06-05T18:19:34Z</dcterms:created>
  <dcterms:modified xsi:type="dcterms:W3CDTF">2024-12-10T08:17:49Z</dcterms:modified>
  <cp:category/>
  <cp:contentStatus/>
</cp:coreProperties>
</file>