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https://szkolawm-my.sharepoint.com/personal/btekielski_szkola_miedzyborow_pl/Documents/Turnieje siatkarskie/Turniej Kinder single 7.12.2024/"/>
    </mc:Choice>
  </mc:AlternateContent>
  <xr:revisionPtr revIDLastSave="0" documentId="8_{4168AA3B-2E23-4527-8E96-1202851099E0}" xr6:coauthVersionLast="47" xr6:coauthVersionMax="47" xr10:uidLastSave="{00000000-0000-0000-0000-000000000000}"/>
  <bookViews>
    <workbookView xWindow="-28410" yWindow="-90" windowWidth="25125" windowHeight="11445" firstSheet="9" activeTab="9" xr2:uid="{00000000-000D-0000-FFFF-FFFF00000000}"/>
  </bookViews>
  <sheets>
    <sheet name="Grupa E" sheetId="7" r:id="rId1"/>
    <sheet name="Grupa F" sheetId="6" r:id="rId2"/>
    <sheet name="Grupa G" sheetId="5" r:id="rId3"/>
    <sheet name="Grupa H" sheetId="4" r:id="rId4"/>
    <sheet name="Grupa I" sheetId="18" r:id="rId5"/>
    <sheet name="Grupa J" sheetId="19" r:id="rId6"/>
    <sheet name="Grupa K" sheetId="21" r:id="rId7"/>
    <sheet name="Grupa L" sheetId="8" r:id="rId8"/>
    <sheet name="Grupa M" sheetId="14" r:id="rId9"/>
    <sheet name="Grupa N" sheetId="15" r:id="rId10"/>
    <sheet name="Grupa O" sheetId="16" r:id="rId11"/>
    <sheet name="Grupa P" sheetId="17" r:id="rId12"/>
  </sheets>
  <definedNames>
    <definedName name="_xlnm._FilterDatabase" localSheetId="0" hidden="1">'Grupa E'!$A$14:$B$42</definedName>
    <definedName name="_xlnm._FilterDatabase" localSheetId="1" hidden="1">'Grupa F'!$A$14:$B$42</definedName>
    <definedName name="_xlnm._FilterDatabase" localSheetId="2" hidden="1">'Grupa G'!$A$14:$B$42</definedName>
    <definedName name="_xlnm._FilterDatabase" localSheetId="3" hidden="1">'Grupa H'!$A$14:$B$42</definedName>
    <definedName name="_xlnm._FilterDatabase" localSheetId="4" hidden="1">'Grupa I'!$A$15:$B$51</definedName>
    <definedName name="_xlnm._FilterDatabase" localSheetId="5" hidden="1">'Grupa J'!$A$15:$B$51</definedName>
    <definedName name="_xlnm._FilterDatabase" localSheetId="6" hidden="1">'Grupa K'!$A$15:$B$51</definedName>
    <definedName name="_xlnm._FilterDatabase" localSheetId="7" hidden="1">'Grupa L'!$A$15:$B$51</definedName>
    <definedName name="_xlnm._FilterDatabase" localSheetId="9" hidden="1">'Grupa N'!$A$16:$B$61</definedName>
    <definedName name="_xlnm._FilterDatabase" localSheetId="11" hidden="1">'Grupa P'!$A$16:$B$61</definedName>
    <definedName name="_xlnm._FilterDatabase" localSheetId="8" hidden="1">'Grupa M'!$A$16:$B$61</definedName>
    <definedName name="_xlnm._FilterDatabase" localSheetId="10" hidden="1">'Grupa O'!$A$16:$B$61</definedName>
    <definedName name="home" localSheetId="0">'Grupa E'!$A$15:$A$42</definedName>
    <definedName name="home" localSheetId="1">'Grupa F'!$A$15:$A$42</definedName>
    <definedName name="home" localSheetId="2">'Grupa G'!$A$15:$A$42</definedName>
    <definedName name="home" localSheetId="3">'Grupa H'!$A$15:$A$42</definedName>
    <definedName name="home" localSheetId="4">'Grupa I'!$A$16:$A$51</definedName>
    <definedName name="home" localSheetId="5">'Grupa J'!$A$16:$A$51</definedName>
    <definedName name="home" localSheetId="6">'Grupa K'!$A$16:$A$51</definedName>
    <definedName name="home" localSheetId="7">'Grupa L'!$A$16:$A$51</definedName>
    <definedName name="home" localSheetId="8">'Grupa M'!$A$17:$A$61</definedName>
    <definedName name="home" localSheetId="9">'Grupa N'!$A$17:$A$61</definedName>
    <definedName name="home" localSheetId="10">'Grupa O'!$A$17:$A$61</definedName>
    <definedName name="home" localSheetId="11">'Grupa P'!$A$17:$A$61</definedName>
    <definedName name="homescore" localSheetId="0">'Grupa E'!$C$15:$C$42</definedName>
    <definedName name="homescore" localSheetId="1">'Grupa F'!$C$15:$C$42</definedName>
    <definedName name="homescore" localSheetId="2">'Grupa G'!$C$15:$C$42</definedName>
    <definedName name="homescore" localSheetId="3">'Grupa H'!$C$15:$C$42</definedName>
    <definedName name="homescore" localSheetId="4">'Grupa I'!$C$16:$C$51</definedName>
    <definedName name="homescore" localSheetId="5">'Grupa J'!$C$16:$C$51</definedName>
    <definedName name="homescore" localSheetId="6">'Grupa K'!$C$16:$C$51</definedName>
    <definedName name="homescore" localSheetId="7">'Grupa L'!$C$16:$C$51</definedName>
    <definedName name="homescore" localSheetId="8">'Grupa M'!$C$17:$C$61</definedName>
    <definedName name="homescore" localSheetId="9">'Grupa N'!$C$17:$C$61</definedName>
    <definedName name="homescore" localSheetId="10">'Grupa O'!$C$17:$C$61</definedName>
    <definedName name="homescore" localSheetId="11">'Grupa P'!$C$17:$C$61</definedName>
    <definedName name="visitor" localSheetId="0">'Grupa E'!$B$15:$B$42</definedName>
    <definedName name="visitor" localSheetId="1">'Grupa F'!$B$15:$B$42</definedName>
    <definedName name="visitor" localSheetId="2">'Grupa G'!$B$15:$B$42</definedName>
    <definedName name="visitor" localSheetId="3">'Grupa H'!$B$15:$B$42</definedName>
    <definedName name="visitor" localSheetId="4">'Grupa I'!$B$16:$B$51</definedName>
    <definedName name="visitor" localSheetId="5">'Grupa J'!$B$16:$B$51</definedName>
    <definedName name="visitor" localSheetId="6">'Grupa K'!$B$16:$B$51</definedName>
    <definedName name="visitor" localSheetId="7">'Grupa L'!$B$16:$B$51</definedName>
    <definedName name="visitor" localSheetId="8">'Grupa M'!$B$17:$B$61</definedName>
    <definedName name="visitor" localSheetId="9">'Grupa N'!$B$17:$B$61</definedName>
    <definedName name="visitor" localSheetId="10">'Grupa O'!$B$17:$B$61</definedName>
    <definedName name="visitor" localSheetId="11">'Grupa P'!$B$17:$B$61</definedName>
    <definedName name="visitorscore" localSheetId="0">'Grupa E'!$E$15:$E$42</definedName>
    <definedName name="visitorscore" localSheetId="1">'Grupa F'!$E$15:$E$42</definedName>
    <definedName name="visitorscore" localSheetId="2">'Grupa G'!$E$15:$E$42</definedName>
    <definedName name="visitorscore" localSheetId="3">'Grupa H'!$E$15:$E$42</definedName>
    <definedName name="visitorscore" localSheetId="4">'Grupa I'!$E$16:$E$51</definedName>
    <definedName name="visitorscore" localSheetId="5">'Grupa J'!$E$16:$E$51</definedName>
    <definedName name="visitorscore" localSheetId="6">'Grupa K'!$E$16:$E$51</definedName>
    <definedName name="visitorscore" localSheetId="7">'Grupa L'!$E$16:$E$51</definedName>
    <definedName name="visitorscore" localSheetId="8">'Grupa M'!$E$17:$E$61</definedName>
    <definedName name="visitorscore" localSheetId="9">'Grupa N'!$E$17:$E$61</definedName>
    <definedName name="visitorscore" localSheetId="10">'Grupa O'!$E$17:$E$61</definedName>
    <definedName name="visitorscore" localSheetId="11">'Grupa P'!$E$17:$E$61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17" l="1"/>
  <c r="B51" i="21"/>
  <c r="A51" i="21"/>
  <c r="B50" i="21"/>
  <c r="A50" i="21"/>
  <c r="B49" i="21"/>
  <c r="A49" i="21"/>
  <c r="B48" i="21"/>
  <c r="A48" i="21"/>
  <c r="B47" i="21"/>
  <c r="A47" i="21"/>
  <c r="B46" i="21"/>
  <c r="A46" i="21"/>
  <c r="B45" i="21"/>
  <c r="A45" i="21"/>
  <c r="B44" i="21"/>
  <c r="A44" i="21"/>
  <c r="B43" i="21"/>
  <c r="A43" i="21"/>
  <c r="B42" i="21"/>
  <c r="A42" i="21"/>
  <c r="B41" i="21"/>
  <c r="A41" i="21"/>
  <c r="B40" i="21"/>
  <c r="A40" i="21"/>
  <c r="B39" i="21"/>
  <c r="A39" i="21"/>
  <c r="B38" i="21"/>
  <c r="A38" i="21"/>
  <c r="B37" i="21"/>
  <c r="A37" i="21"/>
  <c r="B36" i="21"/>
  <c r="A36" i="21"/>
  <c r="B35" i="21"/>
  <c r="A35" i="21"/>
  <c r="B34" i="21"/>
  <c r="A34" i="21"/>
  <c r="B33" i="21"/>
  <c r="A33" i="21"/>
  <c r="B32" i="21"/>
  <c r="A32" i="21"/>
  <c r="B31" i="21"/>
  <c r="A31" i="21"/>
  <c r="B30" i="21"/>
  <c r="A30" i="21"/>
  <c r="B29" i="21"/>
  <c r="A29" i="21"/>
  <c r="B28" i="21"/>
  <c r="A28" i="21"/>
  <c r="B27" i="21"/>
  <c r="A27" i="21"/>
  <c r="B26" i="21"/>
  <c r="A26" i="21"/>
  <c r="B25" i="21"/>
  <c r="A25" i="21"/>
  <c r="B24" i="21"/>
  <c r="A24" i="21"/>
  <c r="B23" i="21"/>
  <c r="A23" i="21"/>
  <c r="B22" i="21"/>
  <c r="A22" i="21"/>
  <c r="B21" i="21"/>
  <c r="A21" i="21"/>
  <c r="B20" i="21"/>
  <c r="A20" i="21"/>
  <c r="B19" i="21"/>
  <c r="A19" i="21"/>
  <c r="B18" i="21"/>
  <c r="A18" i="21"/>
  <c r="B17" i="21"/>
  <c r="A17" i="21"/>
  <c r="B16" i="21"/>
  <c r="A16" i="21"/>
  <c r="S11" i="21"/>
  <c r="S10" i="21"/>
  <c r="W10" i="21" s="1"/>
  <c r="S9" i="21"/>
  <c r="U9" i="21" s="1" a="1"/>
  <c r="S8" i="21"/>
  <c r="V8" i="21" s="1" a="1"/>
  <c r="S7" i="21"/>
  <c r="S6" i="21"/>
  <c r="S5" i="21"/>
  <c r="S4" i="21"/>
  <c r="V4" i="21" s="1" a="1"/>
  <c r="S3" i="21"/>
  <c r="T1" i="21"/>
  <c r="B51" i="19"/>
  <c r="A51" i="19"/>
  <c r="B50" i="19"/>
  <c r="A50" i="19"/>
  <c r="B49" i="19"/>
  <c r="A49" i="19"/>
  <c r="B48" i="19"/>
  <c r="A48" i="19"/>
  <c r="B47" i="19"/>
  <c r="A47" i="19"/>
  <c r="B46" i="19"/>
  <c r="A46" i="19"/>
  <c r="B45" i="19"/>
  <c r="A45" i="19"/>
  <c r="B44" i="19"/>
  <c r="A44" i="19"/>
  <c r="B43" i="19"/>
  <c r="A43" i="19"/>
  <c r="B42" i="19"/>
  <c r="A42" i="19"/>
  <c r="B41" i="19"/>
  <c r="A41" i="19"/>
  <c r="B40" i="19"/>
  <c r="A40" i="19"/>
  <c r="B39" i="19"/>
  <c r="A39" i="19"/>
  <c r="B38" i="19"/>
  <c r="A38" i="19"/>
  <c r="B37" i="19"/>
  <c r="A37" i="19"/>
  <c r="B36" i="19"/>
  <c r="A36" i="19"/>
  <c r="B35" i="19"/>
  <c r="A35" i="19"/>
  <c r="B34" i="19"/>
  <c r="A34" i="19"/>
  <c r="B33" i="19"/>
  <c r="A33" i="19"/>
  <c r="B32" i="19"/>
  <c r="A32" i="19"/>
  <c r="B31" i="19"/>
  <c r="A31" i="19"/>
  <c r="B30" i="19"/>
  <c r="A30" i="19"/>
  <c r="B29" i="19"/>
  <c r="A29" i="19"/>
  <c r="B28" i="19"/>
  <c r="A28" i="19"/>
  <c r="B27" i="19"/>
  <c r="A27" i="19"/>
  <c r="B26" i="19"/>
  <c r="A26" i="19"/>
  <c r="B25" i="19"/>
  <c r="A25" i="19"/>
  <c r="B24" i="19"/>
  <c r="A24" i="19"/>
  <c r="B23" i="19"/>
  <c r="A23" i="19"/>
  <c r="B22" i="19"/>
  <c r="A22" i="19"/>
  <c r="B21" i="19"/>
  <c r="A21" i="19"/>
  <c r="B20" i="19"/>
  <c r="A20" i="19"/>
  <c r="B19" i="19"/>
  <c r="A19" i="19"/>
  <c r="B18" i="19"/>
  <c r="A18" i="19"/>
  <c r="B17" i="19"/>
  <c r="A17" i="19"/>
  <c r="B16" i="19"/>
  <c r="A16" i="19"/>
  <c r="S11" i="19"/>
  <c r="S10" i="19"/>
  <c r="X10" i="19" s="1"/>
  <c r="S9" i="19"/>
  <c r="V9" i="19" s="1" a="1"/>
  <c r="S8" i="19"/>
  <c r="S7" i="19"/>
  <c r="V7" i="19" s="1" a="1"/>
  <c r="S6" i="19"/>
  <c r="X6" i="19" s="1"/>
  <c r="S5" i="19"/>
  <c r="W5" i="19" s="1"/>
  <c r="S4" i="19"/>
  <c r="S3" i="19"/>
  <c r="T1" i="19"/>
  <c r="B51" i="18"/>
  <c r="A51" i="18"/>
  <c r="B50" i="18"/>
  <c r="A50" i="18"/>
  <c r="B49" i="18"/>
  <c r="A49" i="18"/>
  <c r="B48" i="18"/>
  <c r="A48" i="18"/>
  <c r="B47" i="18"/>
  <c r="A47" i="18"/>
  <c r="B46" i="18"/>
  <c r="A46" i="18"/>
  <c r="B45" i="18"/>
  <c r="A45" i="18"/>
  <c r="B44" i="18"/>
  <c r="A44" i="18"/>
  <c r="B43" i="18"/>
  <c r="A43" i="18"/>
  <c r="B42" i="18"/>
  <c r="A42" i="18"/>
  <c r="B41" i="18"/>
  <c r="A41" i="18"/>
  <c r="B40" i="18"/>
  <c r="A40" i="18"/>
  <c r="B39" i="18"/>
  <c r="A39" i="18"/>
  <c r="B38" i="18"/>
  <c r="A38" i="18"/>
  <c r="B37" i="18"/>
  <c r="A37" i="18"/>
  <c r="B36" i="18"/>
  <c r="A36" i="18"/>
  <c r="B35" i="18"/>
  <c r="A35" i="18"/>
  <c r="B34" i="18"/>
  <c r="A34" i="18"/>
  <c r="B33" i="18"/>
  <c r="A33" i="18"/>
  <c r="B32" i="18"/>
  <c r="A32" i="18"/>
  <c r="B31" i="18"/>
  <c r="A31" i="18"/>
  <c r="B30" i="18"/>
  <c r="A30" i="18"/>
  <c r="B29" i="18"/>
  <c r="A29" i="18"/>
  <c r="B28" i="18"/>
  <c r="A28" i="18"/>
  <c r="B27" i="18"/>
  <c r="A27" i="18"/>
  <c r="B26" i="18"/>
  <c r="A26" i="18"/>
  <c r="B25" i="18"/>
  <c r="A25" i="18"/>
  <c r="B24" i="18"/>
  <c r="A24" i="18"/>
  <c r="B23" i="18"/>
  <c r="A23" i="18"/>
  <c r="B22" i="18"/>
  <c r="A22" i="18"/>
  <c r="B21" i="18"/>
  <c r="A21" i="18"/>
  <c r="B20" i="18"/>
  <c r="A20" i="18"/>
  <c r="B19" i="18"/>
  <c r="A19" i="18"/>
  <c r="B18" i="18"/>
  <c r="A18" i="18"/>
  <c r="B17" i="18"/>
  <c r="A17" i="18"/>
  <c r="B16" i="18"/>
  <c r="A16" i="18"/>
  <c r="S11" i="18"/>
  <c r="S10" i="18"/>
  <c r="W10" i="18" s="1"/>
  <c r="S9" i="18"/>
  <c r="S8" i="18"/>
  <c r="S7" i="18"/>
  <c r="S6" i="18"/>
  <c r="S5" i="18"/>
  <c r="S4" i="18"/>
  <c r="S3" i="18"/>
  <c r="T1" i="18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S12" i="17"/>
  <c r="S11" i="17"/>
  <c r="U11" i="17" s="1" a="1"/>
  <c r="S10" i="17"/>
  <c r="S9" i="17"/>
  <c r="S8" i="17"/>
  <c r="U8" i="17" s="1" a="1"/>
  <c r="S7" i="17"/>
  <c r="U7" i="17" s="1" a="1"/>
  <c r="S6" i="17"/>
  <c r="S5" i="17"/>
  <c r="S4" i="17"/>
  <c r="S3" i="17"/>
  <c r="W3" i="17" s="1"/>
  <c r="T1" i="17"/>
  <c r="B61" i="16"/>
  <c r="A61" i="16"/>
  <c r="B60" i="16"/>
  <c r="A60" i="16"/>
  <c r="B59" i="16"/>
  <c r="A59" i="16"/>
  <c r="B58" i="16"/>
  <c r="A58" i="16"/>
  <c r="B57" i="16"/>
  <c r="A57" i="16"/>
  <c r="B56" i="16"/>
  <c r="A56" i="16"/>
  <c r="B55" i="16"/>
  <c r="A55" i="16"/>
  <c r="B54" i="16"/>
  <c r="A54" i="16"/>
  <c r="B53" i="16"/>
  <c r="A53" i="16"/>
  <c r="B52" i="16"/>
  <c r="A52" i="16"/>
  <c r="B51" i="16"/>
  <c r="A51" i="16"/>
  <c r="B50" i="16"/>
  <c r="A50" i="16"/>
  <c r="B49" i="16"/>
  <c r="A49" i="16"/>
  <c r="B48" i="16"/>
  <c r="A48" i="16"/>
  <c r="B47" i="16"/>
  <c r="A47" i="16"/>
  <c r="B46" i="16"/>
  <c r="A46" i="16"/>
  <c r="B45" i="16"/>
  <c r="A45" i="16"/>
  <c r="B44" i="16"/>
  <c r="A44" i="16"/>
  <c r="B43" i="16"/>
  <c r="A43" i="16"/>
  <c r="B42" i="16"/>
  <c r="A42" i="16"/>
  <c r="B41" i="16"/>
  <c r="A41" i="16"/>
  <c r="B40" i="16"/>
  <c r="A40" i="16"/>
  <c r="B39" i="16"/>
  <c r="A39" i="16"/>
  <c r="B38" i="16"/>
  <c r="A38" i="16"/>
  <c r="B37" i="16"/>
  <c r="A37" i="16"/>
  <c r="B36" i="16"/>
  <c r="A36" i="16"/>
  <c r="B35" i="16"/>
  <c r="A35" i="16"/>
  <c r="B34" i="16"/>
  <c r="A34" i="16"/>
  <c r="B33" i="16"/>
  <c r="A33" i="16"/>
  <c r="B32" i="16"/>
  <c r="A32" i="16"/>
  <c r="B31" i="16"/>
  <c r="A31" i="16"/>
  <c r="B30" i="16"/>
  <c r="A30" i="16"/>
  <c r="B29" i="16"/>
  <c r="A29" i="16"/>
  <c r="B28" i="16"/>
  <c r="A28" i="16"/>
  <c r="B27" i="16"/>
  <c r="A27" i="16"/>
  <c r="B26" i="16"/>
  <c r="A26" i="16"/>
  <c r="B25" i="16"/>
  <c r="A25" i="16"/>
  <c r="B24" i="16"/>
  <c r="A24" i="16"/>
  <c r="B23" i="16"/>
  <c r="A23" i="16"/>
  <c r="B22" i="16"/>
  <c r="A22" i="16"/>
  <c r="B21" i="16"/>
  <c r="A21" i="16"/>
  <c r="B20" i="16"/>
  <c r="A20" i="16"/>
  <c r="B19" i="16"/>
  <c r="A19" i="16"/>
  <c r="B18" i="16"/>
  <c r="A18" i="16"/>
  <c r="B17" i="16"/>
  <c r="A17" i="16"/>
  <c r="S12" i="16"/>
  <c r="S11" i="16"/>
  <c r="V11" i="16" s="1" a="1"/>
  <c r="S10" i="16"/>
  <c r="S9" i="16"/>
  <c r="W9" i="16" s="1"/>
  <c r="S8" i="16"/>
  <c r="S7" i="16"/>
  <c r="V7" i="16" s="1" a="1"/>
  <c r="S6" i="16"/>
  <c r="S5" i="16"/>
  <c r="W5" i="16" s="1"/>
  <c r="S4" i="16"/>
  <c r="S3" i="16"/>
  <c r="V3" i="16" s="1" a="1"/>
  <c r="T1" i="16"/>
  <c r="B61" i="15"/>
  <c r="A61" i="15"/>
  <c r="B60" i="15"/>
  <c r="A60" i="15"/>
  <c r="B59" i="15"/>
  <c r="A59" i="15"/>
  <c r="B58" i="15"/>
  <c r="A58" i="15"/>
  <c r="B57" i="15"/>
  <c r="A57" i="15"/>
  <c r="B56" i="15"/>
  <c r="A56" i="15"/>
  <c r="B55" i="15"/>
  <c r="A55" i="15"/>
  <c r="B54" i="15"/>
  <c r="A54" i="15"/>
  <c r="B53" i="15"/>
  <c r="A53" i="15"/>
  <c r="B52" i="15"/>
  <c r="A52" i="15"/>
  <c r="B51" i="15"/>
  <c r="A51" i="15"/>
  <c r="B50" i="15"/>
  <c r="A50" i="15"/>
  <c r="B49" i="15"/>
  <c r="A49" i="15"/>
  <c r="B48" i="15"/>
  <c r="A48" i="15"/>
  <c r="B47" i="15"/>
  <c r="A47" i="15"/>
  <c r="B46" i="15"/>
  <c r="A46" i="15"/>
  <c r="B45" i="15"/>
  <c r="A45" i="15"/>
  <c r="B44" i="15"/>
  <c r="A44" i="15"/>
  <c r="B43" i="15"/>
  <c r="A43" i="15"/>
  <c r="B42" i="15"/>
  <c r="A42" i="15"/>
  <c r="B41" i="15"/>
  <c r="A41" i="15"/>
  <c r="B40" i="15"/>
  <c r="A40" i="15"/>
  <c r="B39" i="15"/>
  <c r="A39" i="15"/>
  <c r="B38" i="15"/>
  <c r="A38" i="15"/>
  <c r="B37" i="15"/>
  <c r="A37" i="15"/>
  <c r="B36" i="15"/>
  <c r="A36" i="15"/>
  <c r="B35" i="15"/>
  <c r="A35" i="15"/>
  <c r="B34" i="15"/>
  <c r="A34" i="15"/>
  <c r="B33" i="15"/>
  <c r="A33" i="15"/>
  <c r="B32" i="15"/>
  <c r="A32" i="15"/>
  <c r="B31" i="15"/>
  <c r="A31" i="15"/>
  <c r="B30" i="15"/>
  <c r="A30" i="15"/>
  <c r="B29" i="15"/>
  <c r="A29" i="15"/>
  <c r="B28" i="15"/>
  <c r="A28" i="15"/>
  <c r="B27" i="15"/>
  <c r="A27" i="15"/>
  <c r="B26" i="15"/>
  <c r="A26" i="15"/>
  <c r="B25" i="15"/>
  <c r="A25" i="15"/>
  <c r="B24" i="15"/>
  <c r="A24" i="15"/>
  <c r="B23" i="15"/>
  <c r="A23" i="15"/>
  <c r="B22" i="15"/>
  <c r="A22" i="15"/>
  <c r="B21" i="15"/>
  <c r="A21" i="15"/>
  <c r="B20" i="15"/>
  <c r="A20" i="15"/>
  <c r="B19" i="15"/>
  <c r="A19" i="15"/>
  <c r="B18" i="15"/>
  <c r="A18" i="15"/>
  <c r="B17" i="15"/>
  <c r="A17" i="15"/>
  <c r="S12" i="15"/>
  <c r="S11" i="15"/>
  <c r="V11" i="15" s="1" a="1"/>
  <c r="S10" i="15"/>
  <c r="S9" i="15"/>
  <c r="S8" i="15"/>
  <c r="S7" i="15"/>
  <c r="V7" i="15" s="1" a="1"/>
  <c r="S6" i="15"/>
  <c r="S5" i="15"/>
  <c r="S4" i="15"/>
  <c r="S3" i="15"/>
  <c r="V3" i="15" s="1" a="1"/>
  <c r="V3" i="15" s="1"/>
  <c r="T1" i="15"/>
  <c r="B61" i="14"/>
  <c r="A61" i="14"/>
  <c r="B60" i="14"/>
  <c r="A60" i="14"/>
  <c r="B59" i="14"/>
  <c r="A59" i="14"/>
  <c r="B58" i="14"/>
  <c r="A58" i="14"/>
  <c r="B57" i="14"/>
  <c r="A57" i="14"/>
  <c r="B56" i="14"/>
  <c r="A56" i="14"/>
  <c r="B55" i="14"/>
  <c r="A55" i="14"/>
  <c r="B54" i="14"/>
  <c r="A54" i="14"/>
  <c r="B53" i="14"/>
  <c r="A53" i="14"/>
  <c r="B52" i="14"/>
  <c r="A52" i="14"/>
  <c r="B51" i="14"/>
  <c r="A51" i="14"/>
  <c r="B50" i="14"/>
  <c r="A50" i="14"/>
  <c r="B49" i="14"/>
  <c r="A49" i="14"/>
  <c r="B48" i="14"/>
  <c r="A48" i="14"/>
  <c r="B47" i="14"/>
  <c r="A47" i="14"/>
  <c r="B46" i="14"/>
  <c r="A46" i="14"/>
  <c r="B45" i="14"/>
  <c r="A45" i="14"/>
  <c r="B44" i="14"/>
  <c r="A44" i="14"/>
  <c r="B43" i="14"/>
  <c r="A43" i="14"/>
  <c r="B42" i="14"/>
  <c r="A42" i="14"/>
  <c r="B41" i="14"/>
  <c r="A41" i="14"/>
  <c r="B40" i="14"/>
  <c r="A40" i="14"/>
  <c r="B39" i="14"/>
  <c r="A39" i="14"/>
  <c r="B38" i="14"/>
  <c r="A38" i="14"/>
  <c r="B37" i="14"/>
  <c r="A37" i="14"/>
  <c r="B36" i="14"/>
  <c r="A36" i="14"/>
  <c r="B35" i="14"/>
  <c r="A35" i="14"/>
  <c r="B34" i="14"/>
  <c r="A34" i="14"/>
  <c r="B33" i="14"/>
  <c r="A33" i="14"/>
  <c r="B32" i="14"/>
  <c r="A32" i="14"/>
  <c r="B31" i="14"/>
  <c r="A31" i="14"/>
  <c r="B30" i="14"/>
  <c r="A30" i="14"/>
  <c r="B29" i="14"/>
  <c r="A29" i="14"/>
  <c r="B28" i="14"/>
  <c r="A28" i="14"/>
  <c r="B27" i="14"/>
  <c r="A27" i="14"/>
  <c r="B26" i="14"/>
  <c r="A26" i="14"/>
  <c r="B25" i="14"/>
  <c r="A25" i="14"/>
  <c r="B24" i="14"/>
  <c r="A24" i="14"/>
  <c r="B23" i="14"/>
  <c r="A23" i="14"/>
  <c r="B22" i="14"/>
  <c r="A22" i="14"/>
  <c r="B21" i="14"/>
  <c r="A21" i="14"/>
  <c r="B20" i="14"/>
  <c r="A20" i="14"/>
  <c r="B19" i="14"/>
  <c r="A19" i="14"/>
  <c r="B18" i="14"/>
  <c r="A18" i="14"/>
  <c r="B17" i="14"/>
  <c r="A17" i="14"/>
  <c r="S12" i="14"/>
  <c r="S11" i="14"/>
  <c r="S10" i="14"/>
  <c r="S9" i="14"/>
  <c r="V9" i="14" s="1" a="1"/>
  <c r="S8" i="14"/>
  <c r="S7" i="14"/>
  <c r="S6" i="14"/>
  <c r="S5" i="14"/>
  <c r="S4" i="14"/>
  <c r="S3" i="14"/>
  <c r="T1" i="14"/>
  <c r="V3" i="18" l="1" a="1"/>
  <c r="U3" i="18" a="1"/>
  <c r="T3" i="18" a="1"/>
  <c r="V4" i="18" a="1"/>
  <c r="U4" i="18" a="1"/>
  <c r="V5" i="18" a="1"/>
  <c r="U5" i="18" a="1"/>
  <c r="X7" i="18"/>
  <c r="V7" i="18" a="1"/>
  <c r="T7" i="18" a="1"/>
  <c r="V8" i="18" a="1"/>
  <c r="U8" i="18" a="1"/>
  <c r="V9" i="18" a="1"/>
  <c r="U9" i="18" a="1"/>
  <c r="V11" i="18" a="1"/>
  <c r="T11" i="18" a="1"/>
  <c r="U11" i="18" a="1"/>
  <c r="U11" i="18" s="1"/>
  <c r="AA11" i="18" s="1"/>
  <c r="V3" i="21" a="1"/>
  <c r="U3" i="21" a="1"/>
  <c r="T3" i="21" a="1"/>
  <c r="T3" i="21" s="1"/>
  <c r="V5" i="21" a="1"/>
  <c r="U5" i="21" a="1"/>
  <c r="T5" i="21" a="1"/>
  <c r="V7" i="21" a="1"/>
  <c r="U7" i="21" a="1"/>
  <c r="T7" i="21" a="1"/>
  <c r="V11" i="21" a="1"/>
  <c r="T11" i="21" a="1"/>
  <c r="T9" i="21" a="1"/>
  <c r="V7" i="15"/>
  <c r="W7" i="14"/>
  <c r="W9" i="21"/>
  <c r="T9" i="21"/>
  <c r="V8" i="21"/>
  <c r="T7" i="21"/>
  <c r="V4" i="21"/>
  <c r="V5" i="21"/>
  <c r="U3" i="21"/>
  <c r="AA3" i="21" s="1"/>
  <c r="X5" i="21"/>
  <c r="W5" i="21"/>
  <c r="U7" i="21"/>
  <c r="AA7" i="21" s="1"/>
  <c r="X9" i="21"/>
  <c r="Z9" i="21" s="1"/>
  <c r="X11" i="21"/>
  <c r="V3" i="21"/>
  <c r="W6" i="21"/>
  <c r="V7" i="21"/>
  <c r="U9" i="21"/>
  <c r="AA9" i="21" s="1"/>
  <c r="T11" i="21"/>
  <c r="T5" i="21"/>
  <c r="X3" i="21"/>
  <c r="W3" i="21"/>
  <c r="Y3" i="21" s="1"/>
  <c r="U5" i="21"/>
  <c r="AA5" i="21" s="1"/>
  <c r="X7" i="21"/>
  <c r="W7" i="21"/>
  <c r="V11" i="21"/>
  <c r="Z3" i="21"/>
  <c r="Y9" i="21"/>
  <c r="X10" i="21"/>
  <c r="Z10" i="21" s="1"/>
  <c r="U4" i="21" a="1"/>
  <c r="U4" i="21" s="1"/>
  <c r="AA4" i="21" s="1"/>
  <c r="W4" i="21"/>
  <c r="T6" i="21" a="1"/>
  <c r="T6" i="21" s="1"/>
  <c r="V6" i="21" a="1"/>
  <c r="V6" i="21" s="1"/>
  <c r="U8" i="21" a="1"/>
  <c r="U8" i="21" s="1"/>
  <c r="AA8" i="21" s="1"/>
  <c r="W8" i="21"/>
  <c r="T10" i="21" a="1"/>
  <c r="T10" i="21" s="1"/>
  <c r="V10" i="21" a="1"/>
  <c r="V10" i="21" s="1"/>
  <c r="X6" i="21"/>
  <c r="Z6" i="21" s="1"/>
  <c r="X4" i="21"/>
  <c r="Z4" i="21" s="1"/>
  <c r="X8" i="21"/>
  <c r="Z8" i="21" s="1"/>
  <c r="V9" i="21" a="1"/>
  <c r="V9" i="21" s="1"/>
  <c r="U11" i="21" a="1"/>
  <c r="U11" i="21" s="1"/>
  <c r="AA11" i="21" s="1"/>
  <c r="W11" i="21"/>
  <c r="T4" i="21" a="1"/>
  <c r="T4" i="21" s="1"/>
  <c r="U6" i="21" a="1"/>
  <c r="U6" i="21" s="1"/>
  <c r="AA6" i="21" s="1"/>
  <c r="T8" i="21" a="1"/>
  <c r="T8" i="21" s="1"/>
  <c r="U10" i="21" a="1"/>
  <c r="U10" i="21" s="1"/>
  <c r="AA10" i="21" s="1"/>
  <c r="X3" i="19"/>
  <c r="V9" i="19"/>
  <c r="V7" i="19"/>
  <c r="X11" i="19"/>
  <c r="U7" i="19" a="1"/>
  <c r="U7" i="19" s="1"/>
  <c r="AA7" i="19" s="1"/>
  <c r="W3" i="19"/>
  <c r="U3" i="19" a="1"/>
  <c r="U3" i="19" s="1"/>
  <c r="AA3" i="19" s="1"/>
  <c r="W8" i="19"/>
  <c r="W4" i="19"/>
  <c r="U11" i="19" a="1"/>
  <c r="U11" i="19" s="1"/>
  <c r="AA11" i="19" s="1"/>
  <c r="W7" i="19"/>
  <c r="U8" i="19" a="1"/>
  <c r="U8" i="19" s="1"/>
  <c r="AA8" i="19" s="1"/>
  <c r="U4" i="19" a="1"/>
  <c r="U4" i="19" s="1"/>
  <c r="AA4" i="19" s="1"/>
  <c r="T3" i="19" a="1"/>
  <c r="T3" i="19" s="1"/>
  <c r="U9" i="19" a="1"/>
  <c r="U9" i="19" s="1"/>
  <c r="AA9" i="19" s="1"/>
  <c r="T11" i="19" a="1"/>
  <c r="T11" i="19" s="1"/>
  <c r="V5" i="19" a="1"/>
  <c r="V5" i="19" s="1"/>
  <c r="X7" i="19"/>
  <c r="Z7" i="19" s="1"/>
  <c r="W9" i="19"/>
  <c r="W10" i="19"/>
  <c r="Z10" i="19" s="1"/>
  <c r="U10" i="19" a="1"/>
  <c r="U10" i="19" s="1"/>
  <c r="AA10" i="19" s="1"/>
  <c r="V10" i="19" a="1"/>
  <c r="V10" i="19" s="1"/>
  <c r="T10" i="19" a="1"/>
  <c r="T10" i="19" s="1"/>
  <c r="V11" i="19" a="1"/>
  <c r="V11" i="19" s="1"/>
  <c r="W6" i="19"/>
  <c r="Z6" i="19" s="1"/>
  <c r="U6" i="19" a="1"/>
  <c r="U6" i="19" s="1"/>
  <c r="AA6" i="19" s="1"/>
  <c r="V6" i="19" a="1"/>
  <c r="V6" i="19" s="1"/>
  <c r="T6" i="19" a="1"/>
  <c r="T6" i="19" s="1"/>
  <c r="V8" i="19" a="1"/>
  <c r="V8" i="19" s="1"/>
  <c r="V3" i="19" a="1"/>
  <c r="V3" i="19" s="1"/>
  <c r="V4" i="19" a="1"/>
  <c r="V4" i="19" s="1"/>
  <c r="U5" i="19" a="1"/>
  <c r="U5" i="19" s="1"/>
  <c r="AA5" i="19" s="1"/>
  <c r="T7" i="19" a="1"/>
  <c r="T7" i="19" s="1"/>
  <c r="X9" i="19"/>
  <c r="Z9" i="19" s="1"/>
  <c r="X8" i="19"/>
  <c r="Z8" i="19" s="1"/>
  <c r="T9" i="19" a="1"/>
  <c r="T9" i="19" s="1"/>
  <c r="W11" i="19"/>
  <c r="X5" i="19"/>
  <c r="Z5" i="19" s="1"/>
  <c r="X4" i="19"/>
  <c r="Z4" i="19" s="1"/>
  <c r="T5" i="19" a="1"/>
  <c r="T5" i="19" s="1"/>
  <c r="T4" i="19" a="1"/>
  <c r="T4" i="19" s="1"/>
  <c r="T8" i="19" a="1"/>
  <c r="T8" i="19" s="1"/>
  <c r="V5" i="18"/>
  <c r="W8" i="18"/>
  <c r="U3" i="18"/>
  <c r="AA3" i="18" s="1"/>
  <c r="X3" i="18"/>
  <c r="V4" i="18"/>
  <c r="W5" i="18"/>
  <c r="V7" i="18"/>
  <c r="U4" i="18"/>
  <c r="AA4" i="18" s="1"/>
  <c r="V8" i="18"/>
  <c r="V3" i="18"/>
  <c r="W4" i="18"/>
  <c r="W6" i="18"/>
  <c r="W7" i="18"/>
  <c r="Y7" i="18" s="1"/>
  <c r="V9" i="18"/>
  <c r="X11" i="18"/>
  <c r="W3" i="18"/>
  <c r="Y3" i="18" s="1"/>
  <c r="U9" i="18"/>
  <c r="AA9" i="18" s="1"/>
  <c r="T11" i="18"/>
  <c r="T3" i="18"/>
  <c r="U5" i="18"/>
  <c r="AA5" i="18" s="1"/>
  <c r="T7" i="18"/>
  <c r="U8" i="18"/>
  <c r="AA8" i="18" s="1"/>
  <c r="W9" i="18"/>
  <c r="V11" i="18"/>
  <c r="Z7" i="18"/>
  <c r="X10" i="18"/>
  <c r="Z10" i="18" s="1"/>
  <c r="X6" i="18"/>
  <c r="Z6" i="18" s="1"/>
  <c r="X5" i="18"/>
  <c r="Z5" i="18" s="1"/>
  <c r="T6" i="18" a="1"/>
  <c r="T6" i="18" s="1"/>
  <c r="V6" i="18" a="1"/>
  <c r="V6" i="18" s="1"/>
  <c r="X9" i="18"/>
  <c r="Z9" i="18" s="1"/>
  <c r="T10" i="18" a="1"/>
  <c r="T10" i="18" s="1"/>
  <c r="V10" i="18" a="1"/>
  <c r="V10" i="18" s="1"/>
  <c r="X4" i="18"/>
  <c r="Z4" i="18" s="1"/>
  <c r="T5" i="18" a="1"/>
  <c r="T5" i="18" s="1"/>
  <c r="U7" i="18" a="1"/>
  <c r="U7" i="18" s="1"/>
  <c r="AA7" i="18" s="1"/>
  <c r="W11" i="18"/>
  <c r="X8" i="18"/>
  <c r="Z8" i="18" s="1"/>
  <c r="T9" i="18" a="1"/>
  <c r="T9" i="18" s="1"/>
  <c r="T4" i="18" a="1"/>
  <c r="T4" i="18" s="1"/>
  <c r="U6" i="18" a="1"/>
  <c r="U6" i="18" s="1"/>
  <c r="AA6" i="18" s="1"/>
  <c r="T8" i="18" a="1"/>
  <c r="T8" i="18" s="1"/>
  <c r="U10" i="18" a="1"/>
  <c r="U10" i="18" s="1"/>
  <c r="AA10" i="18" s="1"/>
  <c r="U7" i="17"/>
  <c r="AA7" i="17" s="1"/>
  <c r="U8" i="17"/>
  <c r="AA8" i="17" s="1"/>
  <c r="U11" i="17"/>
  <c r="AA11" i="17" s="1"/>
  <c r="X12" i="17"/>
  <c r="X10" i="17"/>
  <c r="V3" i="16"/>
  <c r="V7" i="16"/>
  <c r="V11" i="16"/>
  <c r="V11" i="15"/>
  <c r="X5" i="15"/>
  <c r="X9" i="15"/>
  <c r="X5" i="14"/>
  <c r="X4" i="14"/>
  <c r="X8" i="14"/>
  <c r="X12" i="14"/>
  <c r="V9" i="14"/>
  <c r="T5" i="14" a="1"/>
  <c r="T5" i="14" s="1"/>
  <c r="X4" i="15"/>
  <c r="W4" i="15"/>
  <c r="V4" i="15" a="1"/>
  <c r="V4" i="15" s="1"/>
  <c r="U4" i="15" a="1"/>
  <c r="U4" i="15" s="1"/>
  <c r="AA4" i="15" s="1"/>
  <c r="T4" i="15" a="1"/>
  <c r="T4" i="15" s="1"/>
  <c r="X6" i="15"/>
  <c r="W6" i="15"/>
  <c r="V6" i="15" a="1"/>
  <c r="V6" i="15" s="1"/>
  <c r="U6" i="15" a="1"/>
  <c r="U6" i="15" s="1"/>
  <c r="AA6" i="15" s="1"/>
  <c r="T6" i="15" a="1"/>
  <c r="T6" i="15" s="1"/>
  <c r="X8" i="15"/>
  <c r="W8" i="15"/>
  <c r="V8" i="15" a="1"/>
  <c r="V8" i="15" s="1"/>
  <c r="U8" i="15" a="1"/>
  <c r="U8" i="15" s="1"/>
  <c r="AA8" i="15" s="1"/>
  <c r="T8" i="15" a="1"/>
  <c r="T8" i="15" s="1"/>
  <c r="X10" i="15"/>
  <c r="W10" i="15"/>
  <c r="V10" i="15" a="1"/>
  <c r="V10" i="15" s="1"/>
  <c r="U10" i="15" a="1"/>
  <c r="U10" i="15" s="1"/>
  <c r="AA10" i="15" s="1"/>
  <c r="T10" i="15" a="1"/>
  <c r="T10" i="15" s="1"/>
  <c r="X12" i="15"/>
  <c r="W12" i="15"/>
  <c r="V12" i="15" a="1"/>
  <c r="V12" i="15" s="1"/>
  <c r="U12" i="15" a="1"/>
  <c r="U12" i="15" s="1"/>
  <c r="AA12" i="15" s="1"/>
  <c r="T12" i="15" a="1"/>
  <c r="T12" i="15" s="1"/>
  <c r="X4" i="16"/>
  <c r="W4" i="16"/>
  <c r="V4" i="16" a="1"/>
  <c r="V4" i="16" s="1"/>
  <c r="U4" i="16" a="1"/>
  <c r="U4" i="16" s="1"/>
  <c r="AA4" i="16" s="1"/>
  <c r="T4" i="16" a="1"/>
  <c r="T4" i="16" s="1"/>
  <c r="X6" i="16"/>
  <c r="W6" i="16"/>
  <c r="V6" i="16" a="1"/>
  <c r="V6" i="16" s="1"/>
  <c r="U6" i="16" a="1"/>
  <c r="U6" i="16" s="1"/>
  <c r="AA6" i="16" s="1"/>
  <c r="T6" i="16" a="1"/>
  <c r="T6" i="16" s="1"/>
  <c r="X8" i="16"/>
  <c r="W8" i="16"/>
  <c r="V8" i="16" a="1"/>
  <c r="V8" i="16" s="1"/>
  <c r="U8" i="16" a="1"/>
  <c r="U8" i="16" s="1"/>
  <c r="AA8" i="16" s="1"/>
  <c r="T8" i="16" a="1"/>
  <c r="T8" i="16" s="1"/>
  <c r="X10" i="16"/>
  <c r="W10" i="16"/>
  <c r="V10" i="16" a="1"/>
  <c r="V10" i="16" s="1"/>
  <c r="U10" i="16" a="1"/>
  <c r="U10" i="16" s="1"/>
  <c r="AA10" i="16" s="1"/>
  <c r="T10" i="16" a="1"/>
  <c r="T10" i="16" s="1"/>
  <c r="X12" i="16"/>
  <c r="W12" i="16"/>
  <c r="V12" i="16" a="1"/>
  <c r="V12" i="16" s="1"/>
  <c r="U12" i="16" a="1"/>
  <c r="U12" i="16" s="1"/>
  <c r="AA12" i="16" s="1"/>
  <c r="T12" i="16" a="1"/>
  <c r="T12" i="16" s="1"/>
  <c r="W4" i="17"/>
  <c r="U4" i="17" a="1"/>
  <c r="U4" i="17" s="1"/>
  <c r="AA4" i="17" s="1"/>
  <c r="V6" i="17" a="1"/>
  <c r="V6" i="17" s="1"/>
  <c r="T6" i="17" a="1"/>
  <c r="T6" i="17" s="1"/>
  <c r="V9" i="17" a="1"/>
  <c r="V9" i="17" s="1"/>
  <c r="T9" i="17" a="1"/>
  <c r="T9" i="17" s="1"/>
  <c r="W5" i="17"/>
  <c r="U5" i="17" a="1"/>
  <c r="U5" i="17" s="1"/>
  <c r="AA5" i="17" s="1"/>
  <c r="X5" i="17"/>
  <c r="Z5" i="17" s="1"/>
  <c r="V10" i="17" a="1"/>
  <c r="V10" i="17" s="1"/>
  <c r="T10" i="17" a="1"/>
  <c r="T10" i="17" s="1"/>
  <c r="W6" i="17"/>
  <c r="W10" i="17"/>
  <c r="U10" i="17" a="1"/>
  <c r="U10" i="17" s="1"/>
  <c r="AA10" i="17" s="1"/>
  <c r="U6" i="17" a="1"/>
  <c r="U6" i="17" s="1"/>
  <c r="AA6" i="17" s="1"/>
  <c r="T5" i="17" a="1"/>
  <c r="T5" i="17" s="1"/>
  <c r="X6" i="17"/>
  <c r="Z6" i="17" s="1"/>
  <c r="W8" i="17"/>
  <c r="W11" i="17"/>
  <c r="V3" i="17" a="1"/>
  <c r="V3" i="17" s="1"/>
  <c r="T3" i="17" a="1"/>
  <c r="T3" i="17" s="1"/>
  <c r="U3" i="17" a="1"/>
  <c r="U3" i="17" s="1"/>
  <c r="AA3" i="17" s="1"/>
  <c r="X3" i="17"/>
  <c r="Z3" i="17" s="1"/>
  <c r="V7" i="17" a="1"/>
  <c r="V7" i="17" s="1"/>
  <c r="W7" i="17"/>
  <c r="V8" i="17" a="1"/>
  <c r="V8" i="17" s="1"/>
  <c r="T8" i="17" a="1"/>
  <c r="T8" i="17" s="1"/>
  <c r="X8" i="17"/>
  <c r="Z8" i="17" s="1"/>
  <c r="W12" i="17"/>
  <c r="Z12" i="17" s="1"/>
  <c r="U12" i="17" a="1"/>
  <c r="U12" i="17" s="1"/>
  <c r="AA12" i="17" s="1"/>
  <c r="V12" i="17" a="1"/>
  <c r="V12" i="17" s="1"/>
  <c r="T12" i="17" a="1"/>
  <c r="T12" i="17" s="1"/>
  <c r="V4" i="17" a="1"/>
  <c r="V4" i="17" s="1"/>
  <c r="T4" i="17" a="1"/>
  <c r="T4" i="17" s="1"/>
  <c r="X4" i="17"/>
  <c r="Z4" i="17" s="1"/>
  <c r="V5" i="17" a="1"/>
  <c r="V5" i="17" s="1"/>
  <c r="W9" i="17"/>
  <c r="U9" i="17" a="1"/>
  <c r="U9" i="17" s="1"/>
  <c r="AA9" i="17" s="1"/>
  <c r="X9" i="17"/>
  <c r="Z9" i="17" s="1"/>
  <c r="V11" i="17" a="1"/>
  <c r="V11" i="17" s="1"/>
  <c r="X11" i="17"/>
  <c r="Z11" i="17" s="1"/>
  <c r="X7" i="17"/>
  <c r="Z7" i="17" s="1"/>
  <c r="T7" i="17" a="1"/>
  <c r="T7" i="17" s="1"/>
  <c r="T11" i="17" a="1"/>
  <c r="T11" i="17" s="1"/>
  <c r="X3" i="16"/>
  <c r="X5" i="16"/>
  <c r="Z5" i="16" s="1"/>
  <c r="X9" i="16"/>
  <c r="Z9" i="16" s="1"/>
  <c r="U3" i="16" a="1"/>
  <c r="U3" i="16" s="1"/>
  <c r="AA3" i="16" s="1"/>
  <c r="W3" i="16"/>
  <c r="T5" i="16" a="1"/>
  <c r="T5" i="16" s="1"/>
  <c r="V5" i="16" a="1"/>
  <c r="V5" i="16" s="1"/>
  <c r="U7" i="16" a="1"/>
  <c r="U7" i="16" s="1"/>
  <c r="AA7" i="16" s="1"/>
  <c r="W7" i="16"/>
  <c r="T9" i="16" a="1"/>
  <c r="T9" i="16" s="1"/>
  <c r="V9" i="16" a="1"/>
  <c r="V9" i="16" s="1"/>
  <c r="U11" i="16" a="1"/>
  <c r="U11" i="16" s="1"/>
  <c r="AA11" i="16" s="1"/>
  <c r="W11" i="16"/>
  <c r="X7" i="16"/>
  <c r="Z7" i="16" s="1"/>
  <c r="X11" i="16"/>
  <c r="Z11" i="16" s="1"/>
  <c r="T3" i="16" a="1"/>
  <c r="T3" i="16" s="1"/>
  <c r="U5" i="16" a="1"/>
  <c r="U5" i="16" s="1"/>
  <c r="AA5" i="16" s="1"/>
  <c r="T7" i="16" a="1"/>
  <c r="T7" i="16" s="1"/>
  <c r="U9" i="16" a="1"/>
  <c r="U9" i="16" s="1"/>
  <c r="AA9" i="16" s="1"/>
  <c r="T11" i="16" a="1"/>
  <c r="T11" i="16" s="1"/>
  <c r="U3" i="15" a="1"/>
  <c r="U3" i="15" s="1"/>
  <c r="AA3" i="15" s="1"/>
  <c r="W3" i="15"/>
  <c r="T5" i="15" a="1"/>
  <c r="T5" i="15" s="1"/>
  <c r="V5" i="15" a="1"/>
  <c r="V5" i="15" s="1"/>
  <c r="U7" i="15" a="1"/>
  <c r="U7" i="15" s="1"/>
  <c r="AA7" i="15" s="1"/>
  <c r="W7" i="15"/>
  <c r="T9" i="15" a="1"/>
  <c r="T9" i="15" s="1"/>
  <c r="V9" i="15" a="1"/>
  <c r="V9" i="15" s="1"/>
  <c r="U11" i="15" a="1"/>
  <c r="U11" i="15" s="1"/>
  <c r="AA11" i="15" s="1"/>
  <c r="W11" i="15"/>
  <c r="X3" i="15"/>
  <c r="Z3" i="15" s="1"/>
  <c r="X7" i="15"/>
  <c r="Z7" i="15" s="1"/>
  <c r="X11" i="15"/>
  <c r="Z11" i="15" s="1"/>
  <c r="T3" i="15" a="1"/>
  <c r="T3" i="15" s="1"/>
  <c r="U5" i="15" a="1"/>
  <c r="U5" i="15" s="1"/>
  <c r="AA5" i="15" s="1"/>
  <c r="W5" i="15"/>
  <c r="T7" i="15" a="1"/>
  <c r="T7" i="15" s="1"/>
  <c r="U9" i="15" a="1"/>
  <c r="U9" i="15" s="1"/>
  <c r="AA9" i="15" s="1"/>
  <c r="W9" i="15"/>
  <c r="T11" i="15" a="1"/>
  <c r="T11" i="15" s="1"/>
  <c r="V10" i="14" a="1"/>
  <c r="V10" i="14" s="1"/>
  <c r="T10" i="14" a="1"/>
  <c r="T10" i="14" s="1"/>
  <c r="V6" i="14" a="1"/>
  <c r="V6" i="14" s="1"/>
  <c r="T6" i="14" a="1"/>
  <c r="T6" i="14" s="1"/>
  <c r="W10" i="14"/>
  <c r="U10" i="14" a="1"/>
  <c r="U10" i="14" s="1"/>
  <c r="AA10" i="14" s="1"/>
  <c r="W6" i="14"/>
  <c r="U6" i="14" a="1"/>
  <c r="U6" i="14" s="1"/>
  <c r="AA6" i="14" s="1"/>
  <c r="V3" i="14" a="1"/>
  <c r="V3" i="14" s="1"/>
  <c r="T3" i="14" a="1"/>
  <c r="T3" i="14" s="1"/>
  <c r="V11" i="14" a="1"/>
  <c r="V11" i="14" s="1"/>
  <c r="W3" i="14"/>
  <c r="V4" i="14" a="1"/>
  <c r="V4" i="14" s="1"/>
  <c r="U3" i="14" a="1"/>
  <c r="U3" i="14" s="1"/>
  <c r="AA3" i="14" s="1"/>
  <c r="X3" i="14"/>
  <c r="Z3" i="14" s="1"/>
  <c r="T4" i="14" a="1"/>
  <c r="T4" i="14" s="1"/>
  <c r="W4" i="14"/>
  <c r="V7" i="14" a="1"/>
  <c r="V7" i="14" s="1"/>
  <c r="X9" i="14"/>
  <c r="X10" i="14"/>
  <c r="Z10" i="14" s="1"/>
  <c r="U11" i="14" a="1"/>
  <c r="U11" i="14" s="1"/>
  <c r="AA11" i="14" s="1"/>
  <c r="W12" i="14"/>
  <c r="U12" i="14" a="1"/>
  <c r="U12" i="14" s="1"/>
  <c r="AA12" i="14" s="1"/>
  <c r="V12" i="14" a="1"/>
  <c r="V12" i="14" s="1"/>
  <c r="T12" i="14" a="1"/>
  <c r="T12" i="14" s="1"/>
  <c r="U4" i="14" a="1"/>
  <c r="U4" i="14" s="1"/>
  <c r="AA4" i="14" s="1"/>
  <c r="W5" i="14"/>
  <c r="U5" i="14" a="1"/>
  <c r="U5" i="14" s="1"/>
  <c r="AA5" i="14" s="1"/>
  <c r="V5" i="14" a="1"/>
  <c r="V5" i="14" s="1"/>
  <c r="X6" i="14"/>
  <c r="Z6" i="14" s="1"/>
  <c r="U7" i="14" a="1"/>
  <c r="U7" i="14" s="1"/>
  <c r="AA7" i="14" s="1"/>
  <c r="W8" i="14"/>
  <c r="U8" i="14" a="1"/>
  <c r="U8" i="14" s="1"/>
  <c r="AA8" i="14" s="1"/>
  <c r="V8" i="14" a="1"/>
  <c r="V8" i="14" s="1"/>
  <c r="T8" i="14" a="1"/>
  <c r="T8" i="14" s="1"/>
  <c r="T9" i="14" a="1"/>
  <c r="T9" i="14" s="1"/>
  <c r="W11" i="14"/>
  <c r="X7" i="14"/>
  <c r="Z7" i="14" s="1"/>
  <c r="X11" i="14"/>
  <c r="Z11" i="14" s="1"/>
  <c r="T7" i="14" a="1"/>
  <c r="T7" i="14" s="1"/>
  <c r="U9" i="14" a="1"/>
  <c r="U9" i="14" s="1"/>
  <c r="AA9" i="14" s="1"/>
  <c r="W9" i="14"/>
  <c r="T11" i="14" a="1"/>
  <c r="T11" i="14" s="1"/>
  <c r="Z3" i="18" l="1"/>
  <c r="Z11" i="18"/>
  <c r="Z8" i="15"/>
  <c r="Z6" i="15"/>
  <c r="Z9" i="15"/>
  <c r="Z5" i="15"/>
  <c r="Z10" i="15"/>
  <c r="Z4" i="15"/>
  <c r="Z12" i="15"/>
  <c r="Z4" i="16"/>
  <c r="Z8" i="14"/>
  <c r="Z10" i="16"/>
  <c r="Z8" i="16"/>
  <c r="Z6" i="16"/>
  <c r="Z3" i="16"/>
  <c r="Z12" i="16"/>
  <c r="Z3" i="19"/>
  <c r="Z11" i="21"/>
  <c r="Z11" i="19"/>
  <c r="Z9" i="14"/>
  <c r="Z5" i="14"/>
  <c r="Z4" i="14"/>
  <c r="Z12" i="14"/>
  <c r="Z5" i="21"/>
  <c r="AB3" i="21"/>
  <c r="Y4" i="15"/>
  <c r="Z10" i="17"/>
  <c r="Y7" i="21"/>
  <c r="Y5" i="21"/>
  <c r="Z7" i="21"/>
  <c r="AB7" i="21" s="1"/>
  <c r="AB5" i="21"/>
  <c r="AB9" i="21"/>
  <c r="Y4" i="16"/>
  <c r="Y12" i="16"/>
  <c r="AB12" i="16" s="1"/>
  <c r="Y6" i="15"/>
  <c r="AB6" i="15" s="1"/>
  <c r="Y4" i="21"/>
  <c r="AB4" i="21" s="1"/>
  <c r="Y10" i="21"/>
  <c r="AB10" i="21" s="1"/>
  <c r="Y8" i="21"/>
  <c r="AB8" i="21" s="1"/>
  <c r="Y11" i="21"/>
  <c r="AB11" i="21" s="1"/>
  <c r="Y6" i="21"/>
  <c r="AB6" i="21" s="1"/>
  <c r="Y5" i="18"/>
  <c r="AB3" i="18"/>
  <c r="Y6" i="16"/>
  <c r="Y12" i="15"/>
  <c r="AB12" i="15" s="1"/>
  <c r="Y3" i="19"/>
  <c r="AB3" i="19" s="1"/>
  <c r="Y11" i="19"/>
  <c r="AB11" i="19" s="1"/>
  <c r="Y6" i="19"/>
  <c r="AB6" i="19" s="1"/>
  <c r="Y4" i="19"/>
  <c r="AB4" i="19" s="1"/>
  <c r="Y10" i="19"/>
  <c r="AB10" i="19" s="1"/>
  <c r="Y8" i="19"/>
  <c r="AB8" i="19" s="1"/>
  <c r="Y9" i="19"/>
  <c r="AB9" i="19" s="1"/>
  <c r="Y7" i="19"/>
  <c r="AB7" i="19" s="1"/>
  <c r="Y5" i="19"/>
  <c r="AB5" i="19" s="1"/>
  <c r="AB5" i="18"/>
  <c r="AB7" i="18"/>
  <c r="Y11" i="18"/>
  <c r="AB11" i="18" s="1"/>
  <c r="Y9" i="18"/>
  <c r="AB9" i="18" s="1"/>
  <c r="Y4" i="18"/>
  <c r="AB4" i="18" s="1"/>
  <c r="Y10" i="18"/>
  <c r="AB10" i="18" s="1"/>
  <c r="Y8" i="18"/>
  <c r="AB8" i="18" s="1"/>
  <c r="Y6" i="18"/>
  <c r="AB6" i="18" s="1"/>
  <c r="Y8" i="16"/>
  <c r="AB8" i="16" s="1"/>
  <c r="AB4" i="16"/>
  <c r="Y10" i="16"/>
  <c r="AB10" i="16" s="1"/>
  <c r="Y8" i="15"/>
  <c r="AB8" i="15" s="1"/>
  <c r="AB4" i="15"/>
  <c r="Y10" i="15"/>
  <c r="AB10" i="15" s="1"/>
  <c r="Y9" i="17"/>
  <c r="Y8" i="17"/>
  <c r="AB8" i="17" s="1"/>
  <c r="Y5" i="17"/>
  <c r="AB5" i="17" s="1"/>
  <c r="Y12" i="17"/>
  <c r="AB12" i="17" s="1"/>
  <c r="Y4" i="17"/>
  <c r="AB4" i="17" s="1"/>
  <c r="Y10" i="17"/>
  <c r="Y11" i="17"/>
  <c r="AB11" i="17" s="1"/>
  <c r="Y6" i="17"/>
  <c r="AB6" i="17" s="1"/>
  <c r="Y3" i="17"/>
  <c r="AB3" i="17" s="1"/>
  <c r="Y7" i="17"/>
  <c r="AB7" i="17" s="1"/>
  <c r="Y5" i="16"/>
  <c r="AB5" i="16" s="1"/>
  <c r="Y11" i="16"/>
  <c r="AB11" i="16" s="1"/>
  <c r="Y3" i="16"/>
  <c r="AB3" i="16" s="1"/>
  <c r="Y9" i="16"/>
  <c r="AB9" i="16" s="1"/>
  <c r="Y7" i="16"/>
  <c r="AB7" i="16" s="1"/>
  <c r="Y11" i="15"/>
  <c r="AB11" i="15" s="1"/>
  <c r="Y3" i="15"/>
  <c r="AB3" i="15" s="1"/>
  <c r="Y5" i="15"/>
  <c r="AB5" i="15" s="1"/>
  <c r="Y9" i="15"/>
  <c r="AB9" i="15" s="1"/>
  <c r="Y7" i="15"/>
  <c r="AB7" i="15" s="1"/>
  <c r="Y4" i="14"/>
  <c r="AB4" i="14" s="1"/>
  <c r="Y7" i="14"/>
  <c r="AB7" i="14" s="1"/>
  <c r="Y5" i="14"/>
  <c r="Y6" i="14"/>
  <c r="AB6" i="14" s="1"/>
  <c r="Y11" i="14"/>
  <c r="AB11" i="14" s="1"/>
  <c r="Y9" i="14"/>
  <c r="AB9" i="14" s="1"/>
  <c r="Y8" i="14"/>
  <c r="AB8" i="14" s="1"/>
  <c r="Y12" i="14"/>
  <c r="AB12" i="14" s="1"/>
  <c r="Y3" i="14"/>
  <c r="AB3" i="14" s="1"/>
  <c r="Y10" i="14"/>
  <c r="AB10" i="14" s="1"/>
  <c r="AB5" i="14" l="1"/>
  <c r="AB6" i="16"/>
  <c r="AB10" i="17"/>
  <c r="H5" i="21" a="1"/>
  <c r="H5" i="21" s="1"/>
  <c r="H4" i="21" a="1"/>
  <c r="H4" i="21" s="1"/>
  <c r="H7" i="21" a="1"/>
  <c r="H7" i="21" s="1"/>
  <c r="H10" i="21" a="1"/>
  <c r="H10" i="21" s="1"/>
  <c r="H3" i="21" a="1"/>
  <c r="H3" i="21" s="1"/>
  <c r="H9" i="21" a="1"/>
  <c r="H9" i="21" s="1"/>
  <c r="H6" i="21" a="1"/>
  <c r="H6" i="21" s="1"/>
  <c r="H8" i="21" a="1"/>
  <c r="H8" i="21" s="1"/>
  <c r="H11" i="21" a="1"/>
  <c r="H11" i="21" s="1"/>
  <c r="H9" i="19" a="1"/>
  <c r="H9" i="19" s="1"/>
  <c r="H5" i="19" a="1"/>
  <c r="H5" i="19" s="1"/>
  <c r="H6" i="19" a="1"/>
  <c r="H6" i="19" s="1"/>
  <c r="H10" i="19" a="1"/>
  <c r="H10" i="19" s="1"/>
  <c r="H11" i="19" a="1"/>
  <c r="H11" i="19" s="1"/>
  <c r="H7" i="19" a="1"/>
  <c r="H7" i="19" s="1"/>
  <c r="H4" i="19" a="1"/>
  <c r="H4" i="19" s="1"/>
  <c r="H3" i="19" a="1"/>
  <c r="H3" i="19" s="1"/>
  <c r="H8" i="19" a="1"/>
  <c r="H8" i="19" s="1"/>
  <c r="H5" i="18" a="1"/>
  <c r="H5" i="18" s="1"/>
  <c r="N5" i="18" s="1"/>
  <c r="H3" i="18" a="1"/>
  <c r="H3" i="18" s="1"/>
  <c r="H8" i="18" a="1"/>
  <c r="H8" i="18" s="1"/>
  <c r="H9" i="18" a="1"/>
  <c r="H9" i="18" s="1"/>
  <c r="H10" i="18" a="1"/>
  <c r="H10" i="18" s="1"/>
  <c r="H6" i="18" a="1"/>
  <c r="H6" i="18" s="1"/>
  <c r="H7" i="18" a="1"/>
  <c r="H7" i="18" s="1"/>
  <c r="H4" i="18" a="1"/>
  <c r="H4" i="18" s="1"/>
  <c r="H11" i="18" a="1"/>
  <c r="H11" i="18" s="1"/>
  <c r="AC3" i="17"/>
  <c r="AC4" i="17"/>
  <c r="AC11" i="17"/>
  <c r="AC10" i="17"/>
  <c r="AC5" i="17"/>
  <c r="AC7" i="17"/>
  <c r="AC9" i="17"/>
  <c r="AC12" i="17"/>
  <c r="AC6" i="17"/>
  <c r="AC8" i="17"/>
  <c r="AC9" i="16"/>
  <c r="AC3" i="16"/>
  <c r="AC12" i="16"/>
  <c r="AC10" i="16"/>
  <c r="AC6" i="16"/>
  <c r="AC4" i="16"/>
  <c r="AC8" i="16"/>
  <c r="AC7" i="16"/>
  <c r="AC11" i="16"/>
  <c r="AC5" i="16"/>
  <c r="AC9" i="15"/>
  <c r="AC5" i="15"/>
  <c r="AC3" i="15"/>
  <c r="AC10" i="15"/>
  <c r="AC12" i="15"/>
  <c r="AC4" i="15"/>
  <c r="AC8" i="15"/>
  <c r="AC6" i="15"/>
  <c r="AC11" i="15"/>
  <c r="AC7" i="15"/>
  <c r="AC5" i="14"/>
  <c r="AC3" i="14"/>
  <c r="AC11" i="14"/>
  <c r="AC9" i="14"/>
  <c r="AC4" i="14"/>
  <c r="AC8" i="14"/>
  <c r="AC10" i="14"/>
  <c r="AC12" i="14"/>
  <c r="AC6" i="14"/>
  <c r="AC7" i="14"/>
  <c r="K5" i="18" l="1"/>
  <c r="I5" i="18"/>
  <c r="M5" i="18"/>
  <c r="M11" i="21"/>
  <c r="I11" i="21"/>
  <c r="P11" i="21"/>
  <c r="L11" i="21"/>
  <c r="K11" i="21"/>
  <c r="N11" i="21"/>
  <c r="J11" i="21"/>
  <c r="N8" i="21"/>
  <c r="J8" i="21"/>
  <c r="M8" i="21"/>
  <c r="I8" i="21"/>
  <c r="K8" i="21"/>
  <c r="P8" i="21"/>
  <c r="L8" i="21"/>
  <c r="P10" i="21"/>
  <c r="L10" i="21"/>
  <c r="K10" i="21"/>
  <c r="N10" i="21"/>
  <c r="J10" i="21"/>
  <c r="M10" i="21"/>
  <c r="O10" i="21" s="1"/>
  <c r="I10" i="21"/>
  <c r="P6" i="21"/>
  <c r="L6" i="21"/>
  <c r="K6" i="21"/>
  <c r="N6" i="21"/>
  <c r="J6" i="21"/>
  <c r="M6" i="21"/>
  <c r="O6" i="21" s="1"/>
  <c r="I6" i="21"/>
  <c r="M7" i="21"/>
  <c r="I7" i="21"/>
  <c r="P7" i="21"/>
  <c r="L7" i="21"/>
  <c r="N7" i="21"/>
  <c r="J7" i="21"/>
  <c r="K7" i="21"/>
  <c r="K9" i="21"/>
  <c r="N9" i="21"/>
  <c r="J9" i="21"/>
  <c r="P9" i="21"/>
  <c r="M9" i="21"/>
  <c r="I9" i="21"/>
  <c r="L9" i="21"/>
  <c r="N4" i="21"/>
  <c r="J4" i="21"/>
  <c r="M4" i="21"/>
  <c r="K4" i="21"/>
  <c r="I4" i="21"/>
  <c r="P4" i="21"/>
  <c r="L4" i="21"/>
  <c r="M3" i="21"/>
  <c r="I3" i="21"/>
  <c r="P3" i="21"/>
  <c r="L3" i="21"/>
  <c r="N3" i="21"/>
  <c r="J3" i="21"/>
  <c r="K3" i="21"/>
  <c r="K5" i="21"/>
  <c r="P5" i="21"/>
  <c r="L5" i="21"/>
  <c r="N5" i="21"/>
  <c r="J5" i="21"/>
  <c r="M5" i="21"/>
  <c r="O5" i="21" s="1"/>
  <c r="I5" i="21"/>
  <c r="M3" i="19"/>
  <c r="I3" i="19"/>
  <c r="P3" i="19"/>
  <c r="L3" i="19"/>
  <c r="K3" i="19"/>
  <c r="N3" i="19"/>
  <c r="J3" i="19"/>
  <c r="P10" i="19"/>
  <c r="L10" i="19"/>
  <c r="N10" i="19"/>
  <c r="J10" i="19"/>
  <c r="K10" i="19"/>
  <c r="M10" i="19"/>
  <c r="O10" i="19" s="1"/>
  <c r="I10" i="19"/>
  <c r="N4" i="19"/>
  <c r="J4" i="19"/>
  <c r="M4" i="19"/>
  <c r="I4" i="19"/>
  <c r="P4" i="19"/>
  <c r="L4" i="19"/>
  <c r="K4" i="19"/>
  <c r="P6" i="19"/>
  <c r="L6" i="19"/>
  <c r="K6" i="19"/>
  <c r="N6" i="19"/>
  <c r="J6" i="19"/>
  <c r="M6" i="19"/>
  <c r="O6" i="19" s="1"/>
  <c r="I6" i="19"/>
  <c r="K5" i="19"/>
  <c r="N5" i="19"/>
  <c r="J5" i="19"/>
  <c r="I5" i="19"/>
  <c r="M5" i="19"/>
  <c r="L5" i="19"/>
  <c r="P5" i="19"/>
  <c r="M7" i="19"/>
  <c r="I7" i="19"/>
  <c r="P7" i="19"/>
  <c r="L7" i="19"/>
  <c r="K7" i="19"/>
  <c r="N7" i="19"/>
  <c r="J7" i="19"/>
  <c r="N8" i="19"/>
  <c r="J8" i="19"/>
  <c r="M8" i="19"/>
  <c r="I8" i="19"/>
  <c r="P8" i="19"/>
  <c r="L8" i="19"/>
  <c r="K8" i="19"/>
  <c r="M11" i="19"/>
  <c r="I11" i="19"/>
  <c r="P11" i="19"/>
  <c r="L11" i="19"/>
  <c r="K11" i="19"/>
  <c r="N11" i="19"/>
  <c r="J11" i="19"/>
  <c r="K9" i="19"/>
  <c r="N9" i="19"/>
  <c r="J9" i="19"/>
  <c r="M9" i="19"/>
  <c r="I9" i="19"/>
  <c r="P9" i="19"/>
  <c r="L9" i="19"/>
  <c r="L5" i="18"/>
  <c r="J5" i="18"/>
  <c r="P5" i="18"/>
  <c r="P10" i="18"/>
  <c r="L10" i="18"/>
  <c r="K10" i="18"/>
  <c r="N10" i="18"/>
  <c r="J10" i="18"/>
  <c r="M10" i="18"/>
  <c r="O10" i="18" s="1"/>
  <c r="I10" i="18"/>
  <c r="M11" i="18"/>
  <c r="I11" i="18"/>
  <c r="P11" i="18"/>
  <c r="L11" i="18"/>
  <c r="K11" i="18"/>
  <c r="N11" i="18"/>
  <c r="J11" i="18"/>
  <c r="N4" i="18"/>
  <c r="J4" i="18"/>
  <c r="M4" i="18"/>
  <c r="I4" i="18"/>
  <c r="P4" i="18"/>
  <c r="L4" i="18"/>
  <c r="K4" i="18"/>
  <c r="K9" i="18"/>
  <c r="N9" i="18"/>
  <c r="J9" i="18"/>
  <c r="M9" i="18"/>
  <c r="I9" i="18"/>
  <c r="P9" i="18"/>
  <c r="L9" i="18"/>
  <c r="M7" i="18"/>
  <c r="I7" i="18"/>
  <c r="P7" i="18"/>
  <c r="L7" i="18"/>
  <c r="K7" i="18"/>
  <c r="N7" i="18"/>
  <c r="J7" i="18"/>
  <c r="N8" i="18"/>
  <c r="J8" i="18"/>
  <c r="M8" i="18"/>
  <c r="I8" i="18"/>
  <c r="P8" i="18"/>
  <c r="L8" i="18"/>
  <c r="K8" i="18"/>
  <c r="P6" i="18"/>
  <c r="L6" i="18"/>
  <c r="N6" i="18"/>
  <c r="J6" i="18"/>
  <c r="M6" i="18"/>
  <c r="O6" i="18" s="1"/>
  <c r="K6" i="18"/>
  <c r="I6" i="18"/>
  <c r="M3" i="18"/>
  <c r="I3" i="18"/>
  <c r="P3" i="18"/>
  <c r="L3" i="18"/>
  <c r="K3" i="18"/>
  <c r="N3" i="18"/>
  <c r="J3" i="18"/>
  <c r="H12" i="14"/>
  <c r="H11" i="14"/>
  <c r="H10" i="14"/>
  <c r="H9" i="14"/>
  <c r="H8" i="14"/>
  <c r="H7" i="14"/>
  <c r="H6" i="14"/>
  <c r="H5" i="14"/>
  <c r="H4" i="14"/>
  <c r="H3" i="14"/>
  <c r="H12" i="15"/>
  <c r="H11" i="15"/>
  <c r="H10" i="15"/>
  <c r="H9" i="15"/>
  <c r="H8" i="15"/>
  <c r="H7" i="15"/>
  <c r="H6" i="15"/>
  <c r="H5" i="15"/>
  <c r="H4" i="15"/>
  <c r="H3" i="15"/>
  <c r="H12" i="16"/>
  <c r="H11" i="16"/>
  <c r="H10" i="16"/>
  <c r="H9" i="16"/>
  <c r="H8" i="16"/>
  <c r="H7" i="16"/>
  <c r="H6" i="16"/>
  <c r="H5" i="16"/>
  <c r="H4" i="16"/>
  <c r="H3" i="16"/>
  <c r="H12" i="17"/>
  <c r="H11" i="17"/>
  <c r="H10" i="17"/>
  <c r="H9" i="17"/>
  <c r="H8" i="17"/>
  <c r="H7" i="17"/>
  <c r="H6" i="17"/>
  <c r="H5" i="17"/>
  <c r="H4" i="17"/>
  <c r="H3" i="17"/>
  <c r="A15" i="7"/>
  <c r="A16" i="7"/>
  <c r="A17" i="7"/>
  <c r="A18" i="7"/>
  <c r="A19" i="7"/>
  <c r="B51" i="8"/>
  <c r="A51" i="8"/>
  <c r="B50" i="8"/>
  <c r="A50" i="8"/>
  <c r="B49" i="8"/>
  <c r="A49" i="8"/>
  <c r="B48" i="8"/>
  <c r="A48" i="8"/>
  <c r="B47" i="8"/>
  <c r="A47" i="8"/>
  <c r="B46" i="8"/>
  <c r="A46" i="8"/>
  <c r="B45" i="8"/>
  <c r="A45" i="8"/>
  <c r="B44" i="8"/>
  <c r="A44" i="8"/>
  <c r="B43" i="8"/>
  <c r="A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S11" i="8"/>
  <c r="S10" i="8"/>
  <c r="S9" i="8"/>
  <c r="S8" i="8"/>
  <c r="S7" i="8"/>
  <c r="S6" i="8"/>
  <c r="S5" i="8"/>
  <c r="S4" i="8"/>
  <c r="S3" i="8"/>
  <c r="T1" i="8"/>
  <c r="B42" i="7"/>
  <c r="A4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B18" i="7"/>
  <c r="B17" i="7"/>
  <c r="B16" i="7"/>
  <c r="B15" i="7"/>
  <c r="S10" i="7"/>
  <c r="S9" i="7"/>
  <c r="W9" i="7" s="1"/>
  <c r="S8" i="7"/>
  <c r="S7" i="7"/>
  <c r="V7" i="7" s="1" a="1"/>
  <c r="V7" i="7" s="1"/>
  <c r="S6" i="7"/>
  <c r="S5" i="7"/>
  <c r="W5" i="7" s="1"/>
  <c r="S4" i="7"/>
  <c r="S3" i="7"/>
  <c r="V3" i="7" s="1" a="1"/>
  <c r="V3" i="7" s="1"/>
  <c r="V1" i="7"/>
  <c r="T1" i="7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S10" i="6"/>
  <c r="X10" i="6" s="1"/>
  <c r="S9" i="6"/>
  <c r="X9" i="6" s="1"/>
  <c r="S8" i="6"/>
  <c r="V8" i="6" s="1" a="1"/>
  <c r="V8" i="6" s="1"/>
  <c r="S7" i="6"/>
  <c r="S6" i="6"/>
  <c r="V6" i="6" s="1" a="1"/>
  <c r="V6" i="6" s="1"/>
  <c r="S5" i="6"/>
  <c r="X5" i="6" s="1"/>
  <c r="S4" i="6"/>
  <c r="W4" i="6" s="1"/>
  <c r="S3" i="6"/>
  <c r="V1" i="6"/>
  <c r="T1" i="6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S10" i="5"/>
  <c r="S9" i="5"/>
  <c r="W9" i="5" s="1"/>
  <c r="S8" i="5"/>
  <c r="S7" i="5"/>
  <c r="V7" i="5" s="1" a="1"/>
  <c r="V7" i="5" s="1"/>
  <c r="S6" i="5"/>
  <c r="S5" i="5"/>
  <c r="W5" i="5" s="1"/>
  <c r="S4" i="5"/>
  <c r="S3" i="5"/>
  <c r="V3" i="5" s="1" a="1"/>
  <c r="V3" i="5" s="1"/>
  <c r="V1" i="5"/>
  <c r="T1" i="5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S10" i="4"/>
  <c r="S9" i="4"/>
  <c r="W9" i="4" s="1"/>
  <c r="S8" i="4"/>
  <c r="S7" i="4"/>
  <c r="V7" i="4" s="1" a="1"/>
  <c r="V7" i="4" s="1"/>
  <c r="S6" i="4"/>
  <c r="S5" i="4"/>
  <c r="W5" i="4" s="1"/>
  <c r="S4" i="4"/>
  <c r="S3" i="4"/>
  <c r="V3" i="4" s="1" a="1"/>
  <c r="V3" i="4" s="1"/>
  <c r="V1" i="4"/>
  <c r="T1" i="4"/>
  <c r="O7" i="18" l="1"/>
  <c r="O8" i="18"/>
  <c r="O5" i="18"/>
  <c r="O9" i="18"/>
  <c r="O4" i="18"/>
  <c r="O3" i="18"/>
  <c r="O4" i="21"/>
  <c r="O7" i="19"/>
  <c r="O8" i="19"/>
  <c r="O9" i="19"/>
  <c r="O5" i="19"/>
  <c r="O4" i="19"/>
  <c r="O3" i="19"/>
  <c r="O11" i="19"/>
  <c r="O8" i="21"/>
  <c r="O9" i="21"/>
  <c r="O3" i="21"/>
  <c r="O7" i="21"/>
  <c r="O11" i="21"/>
  <c r="O11" i="18"/>
  <c r="T3" i="8" a="1"/>
  <c r="T3" i="8" s="1"/>
  <c r="T7" i="8" a="1"/>
  <c r="W4" i="8"/>
  <c r="T7" i="8"/>
  <c r="X10" i="8"/>
  <c r="P3" i="17"/>
  <c r="L3" i="17"/>
  <c r="K3" i="17"/>
  <c r="I3" i="17"/>
  <c r="N3" i="17"/>
  <c r="J3" i="17"/>
  <c r="M3" i="17"/>
  <c r="O3" i="17" s="1"/>
  <c r="M4" i="17"/>
  <c r="L4" i="17"/>
  <c r="K4" i="17"/>
  <c r="N4" i="17"/>
  <c r="J4" i="17"/>
  <c r="P4" i="17"/>
  <c r="I4" i="17"/>
  <c r="P5" i="17"/>
  <c r="M5" i="17"/>
  <c r="I5" i="17"/>
  <c r="N5" i="17"/>
  <c r="J5" i="17"/>
  <c r="K5" i="17"/>
  <c r="L5" i="17"/>
  <c r="M6" i="17"/>
  <c r="K6" i="17"/>
  <c r="J6" i="17"/>
  <c r="N6" i="17"/>
  <c r="L6" i="17"/>
  <c r="P6" i="17"/>
  <c r="I6" i="17"/>
  <c r="L7" i="17"/>
  <c r="K7" i="17"/>
  <c r="N7" i="17"/>
  <c r="J7" i="17"/>
  <c r="M7" i="17"/>
  <c r="O7" i="17" s="1"/>
  <c r="I7" i="17"/>
  <c r="P7" i="17"/>
  <c r="M8" i="17"/>
  <c r="L8" i="17"/>
  <c r="K8" i="17"/>
  <c r="N8" i="17"/>
  <c r="J8" i="17"/>
  <c r="P8" i="17"/>
  <c r="I8" i="17"/>
  <c r="P9" i="17"/>
  <c r="K9" i="17"/>
  <c r="M9" i="17"/>
  <c r="I9" i="17"/>
  <c r="N9" i="17"/>
  <c r="J9" i="17"/>
  <c r="L9" i="17"/>
  <c r="M10" i="17"/>
  <c r="N10" i="17"/>
  <c r="J10" i="17"/>
  <c r="K10" i="17"/>
  <c r="L10" i="17"/>
  <c r="P10" i="17"/>
  <c r="I10" i="17"/>
  <c r="K11" i="17"/>
  <c r="N11" i="17"/>
  <c r="J11" i="17"/>
  <c r="M11" i="17"/>
  <c r="I11" i="17"/>
  <c r="L11" i="17"/>
  <c r="P11" i="17"/>
  <c r="P12" i="17"/>
  <c r="I12" i="17"/>
  <c r="M12" i="17"/>
  <c r="J12" i="17"/>
  <c r="N12" i="17"/>
  <c r="K12" i="17"/>
  <c r="L12" i="17"/>
  <c r="N3" i="16"/>
  <c r="I3" i="16"/>
  <c r="K3" i="16"/>
  <c r="M3" i="16"/>
  <c r="L3" i="16"/>
  <c r="P3" i="16"/>
  <c r="J3" i="16"/>
  <c r="K4" i="16"/>
  <c r="J4" i="16"/>
  <c r="N4" i="16"/>
  <c r="L4" i="16"/>
  <c r="P4" i="16"/>
  <c r="I4" i="16"/>
  <c r="M4" i="16"/>
  <c r="O4" i="16" s="1"/>
  <c r="P5" i="16"/>
  <c r="M5" i="16"/>
  <c r="I5" i="16"/>
  <c r="N5" i="16"/>
  <c r="J5" i="16"/>
  <c r="K5" i="16"/>
  <c r="L5" i="16"/>
  <c r="M6" i="16"/>
  <c r="J6" i="16"/>
  <c r="N6" i="16"/>
  <c r="K6" i="16"/>
  <c r="L6" i="16"/>
  <c r="P6" i="16"/>
  <c r="I6" i="16"/>
  <c r="N7" i="16"/>
  <c r="K7" i="16"/>
  <c r="M7" i="16"/>
  <c r="I7" i="16"/>
  <c r="L7" i="16"/>
  <c r="P7" i="16"/>
  <c r="J7" i="16"/>
  <c r="K8" i="16"/>
  <c r="J8" i="16"/>
  <c r="N8" i="16"/>
  <c r="L8" i="16"/>
  <c r="P8" i="16"/>
  <c r="I8" i="16"/>
  <c r="M8" i="16"/>
  <c r="O8" i="16" s="1"/>
  <c r="P9" i="16"/>
  <c r="I9" i="16"/>
  <c r="N9" i="16"/>
  <c r="J9" i="16"/>
  <c r="K9" i="16"/>
  <c r="M9" i="16"/>
  <c r="L9" i="16"/>
  <c r="M10" i="16"/>
  <c r="J10" i="16"/>
  <c r="N10" i="16"/>
  <c r="K10" i="16"/>
  <c r="L10" i="16"/>
  <c r="P10" i="16"/>
  <c r="I10" i="16"/>
  <c r="N11" i="16"/>
  <c r="M11" i="16"/>
  <c r="I11" i="16"/>
  <c r="K11" i="16"/>
  <c r="L11" i="16"/>
  <c r="P11" i="16"/>
  <c r="J11" i="16"/>
  <c r="P12" i="16"/>
  <c r="N12" i="16"/>
  <c r="J12" i="16"/>
  <c r="I12" i="16"/>
  <c r="M12" i="16"/>
  <c r="K12" i="16"/>
  <c r="L12" i="16"/>
  <c r="N3" i="15"/>
  <c r="I3" i="15"/>
  <c r="K3" i="15"/>
  <c r="M3" i="15"/>
  <c r="L3" i="15"/>
  <c r="P3" i="15"/>
  <c r="J3" i="15"/>
  <c r="P4" i="15"/>
  <c r="I4" i="15"/>
  <c r="M4" i="15"/>
  <c r="J4" i="15"/>
  <c r="N4" i="15"/>
  <c r="K4" i="15"/>
  <c r="L4" i="15"/>
  <c r="P5" i="15"/>
  <c r="I5" i="15"/>
  <c r="N5" i="15"/>
  <c r="J5" i="15"/>
  <c r="M5" i="15"/>
  <c r="K5" i="15"/>
  <c r="L5" i="15"/>
  <c r="M6" i="15"/>
  <c r="J6" i="15"/>
  <c r="N6" i="15"/>
  <c r="K6" i="15"/>
  <c r="L6" i="15"/>
  <c r="P6" i="15"/>
  <c r="I6" i="15"/>
  <c r="N7" i="15"/>
  <c r="I7" i="15"/>
  <c r="K7" i="15"/>
  <c r="M7" i="15"/>
  <c r="L7" i="15"/>
  <c r="P7" i="15"/>
  <c r="J7" i="15"/>
  <c r="P8" i="15"/>
  <c r="I8" i="15"/>
  <c r="M8" i="15"/>
  <c r="J8" i="15"/>
  <c r="N8" i="15"/>
  <c r="K8" i="15"/>
  <c r="L8" i="15"/>
  <c r="P9" i="15"/>
  <c r="I9" i="15"/>
  <c r="J9" i="15"/>
  <c r="N9" i="15"/>
  <c r="K9" i="15"/>
  <c r="M9" i="15"/>
  <c r="L9" i="15"/>
  <c r="M10" i="15"/>
  <c r="N10" i="15"/>
  <c r="J10" i="15"/>
  <c r="K10" i="15"/>
  <c r="L10" i="15"/>
  <c r="P10" i="15"/>
  <c r="I10" i="15"/>
  <c r="N11" i="15"/>
  <c r="K11" i="15"/>
  <c r="I11" i="15"/>
  <c r="M11" i="15"/>
  <c r="L11" i="15"/>
  <c r="P11" i="15"/>
  <c r="J11" i="15"/>
  <c r="K12" i="15"/>
  <c r="L12" i="15"/>
  <c r="P12" i="15"/>
  <c r="I12" i="15"/>
  <c r="M12" i="15"/>
  <c r="O12" i="15" s="1"/>
  <c r="J12" i="15"/>
  <c r="N12" i="15"/>
  <c r="L3" i="14"/>
  <c r="N3" i="14"/>
  <c r="J3" i="14"/>
  <c r="M3" i="14"/>
  <c r="O3" i="14" s="1"/>
  <c r="I3" i="14"/>
  <c r="K3" i="14"/>
  <c r="P3" i="14"/>
  <c r="K4" i="14"/>
  <c r="J4" i="14"/>
  <c r="L4" i="14"/>
  <c r="P4" i="14"/>
  <c r="M4" i="14"/>
  <c r="O4" i="14" s="1"/>
  <c r="I4" i="14"/>
  <c r="N4" i="14"/>
  <c r="P5" i="14"/>
  <c r="M5" i="14"/>
  <c r="I5" i="14"/>
  <c r="N5" i="14"/>
  <c r="J5" i="14"/>
  <c r="K5" i="14"/>
  <c r="L5" i="14"/>
  <c r="N6" i="14"/>
  <c r="K6" i="14"/>
  <c r="M6" i="14"/>
  <c r="I6" i="14"/>
  <c r="P6" i="14"/>
  <c r="L6" i="14"/>
  <c r="J6" i="14"/>
  <c r="P7" i="14"/>
  <c r="L7" i="14"/>
  <c r="K7" i="14"/>
  <c r="N7" i="14"/>
  <c r="J7" i="14"/>
  <c r="M7" i="14"/>
  <c r="O7" i="14" s="1"/>
  <c r="I7" i="14"/>
  <c r="P8" i="14"/>
  <c r="J8" i="14"/>
  <c r="M8" i="14"/>
  <c r="N8" i="14"/>
  <c r="I8" i="14"/>
  <c r="K8" i="14"/>
  <c r="L8" i="14"/>
  <c r="P9" i="14"/>
  <c r="M9" i="14"/>
  <c r="I9" i="14"/>
  <c r="N9" i="14"/>
  <c r="J9" i="14"/>
  <c r="K9" i="14"/>
  <c r="L9" i="14"/>
  <c r="N10" i="14"/>
  <c r="K10" i="14"/>
  <c r="L10" i="14"/>
  <c r="P10" i="14"/>
  <c r="I10" i="14"/>
  <c r="M10" i="14"/>
  <c r="O10" i="14" s="1"/>
  <c r="J10" i="14"/>
  <c r="P11" i="14"/>
  <c r="K11" i="14"/>
  <c r="N11" i="14"/>
  <c r="J11" i="14"/>
  <c r="M11" i="14"/>
  <c r="I11" i="14"/>
  <c r="L11" i="14"/>
  <c r="P12" i="14"/>
  <c r="I12" i="14"/>
  <c r="J12" i="14"/>
  <c r="M12" i="14"/>
  <c r="N12" i="14"/>
  <c r="K12" i="14"/>
  <c r="L12" i="14"/>
  <c r="X4" i="4"/>
  <c r="W4" i="4"/>
  <c r="V4" i="4" a="1"/>
  <c r="V4" i="4" s="1"/>
  <c r="U4" i="4" a="1"/>
  <c r="U4" i="4" s="1"/>
  <c r="AA4" i="4" s="1"/>
  <c r="T4" i="4" a="1"/>
  <c r="T4" i="4" s="1"/>
  <c r="X6" i="4"/>
  <c r="W6" i="4"/>
  <c r="V6" i="4" a="1"/>
  <c r="V6" i="4" s="1"/>
  <c r="U6" i="4" a="1"/>
  <c r="U6" i="4" s="1"/>
  <c r="AA6" i="4" s="1"/>
  <c r="T6" i="4" a="1"/>
  <c r="T6" i="4" s="1"/>
  <c r="X8" i="4"/>
  <c r="W8" i="4"/>
  <c r="Y8" i="4" s="1"/>
  <c r="U8" i="4" a="1"/>
  <c r="U8" i="4" s="1"/>
  <c r="AA8" i="4" s="1"/>
  <c r="T8" i="4" a="1"/>
  <c r="T8" i="4" s="1"/>
  <c r="X10" i="4"/>
  <c r="V10" i="4" a="1"/>
  <c r="V10" i="4" s="1"/>
  <c r="T10" i="4" a="1"/>
  <c r="T10" i="4" s="1"/>
  <c r="U10" i="4" a="1"/>
  <c r="U10" i="4" s="1"/>
  <c r="AA10" i="4" s="1"/>
  <c r="X4" i="5"/>
  <c r="W4" i="5"/>
  <c r="Y4" i="5" s="1"/>
  <c r="V4" i="5" a="1"/>
  <c r="V4" i="5" s="1"/>
  <c r="U4" i="5" a="1"/>
  <c r="U4" i="5" s="1"/>
  <c r="AA4" i="5" s="1"/>
  <c r="T4" i="5" a="1"/>
  <c r="T4" i="5" s="1"/>
  <c r="X6" i="5"/>
  <c r="W6" i="5"/>
  <c r="V6" i="5" a="1"/>
  <c r="V6" i="5" s="1"/>
  <c r="U6" i="5" a="1"/>
  <c r="U6" i="5" s="1"/>
  <c r="AA6" i="5" s="1"/>
  <c r="T6" i="5" a="1"/>
  <c r="T6" i="5" s="1"/>
  <c r="X8" i="5"/>
  <c r="W8" i="5"/>
  <c r="V8" i="5" a="1"/>
  <c r="V8" i="5" s="1"/>
  <c r="U8" i="5" a="1"/>
  <c r="U8" i="5" s="1"/>
  <c r="AA8" i="5" s="1"/>
  <c r="T8" i="5" a="1"/>
  <c r="T8" i="5" s="1"/>
  <c r="X10" i="5"/>
  <c r="W10" i="5"/>
  <c r="V10" i="5" a="1"/>
  <c r="V10" i="5" s="1"/>
  <c r="U10" i="5" a="1"/>
  <c r="U10" i="5" s="1"/>
  <c r="AA10" i="5" s="1"/>
  <c r="T10" i="5" a="1"/>
  <c r="T10" i="5" s="1"/>
  <c r="U9" i="5" a="1"/>
  <c r="U9" i="5" s="1"/>
  <c r="AA9" i="5" s="1"/>
  <c r="X4" i="7"/>
  <c r="W4" i="7"/>
  <c r="V4" i="7" a="1"/>
  <c r="V4" i="7" s="1"/>
  <c r="U4" i="7" a="1"/>
  <c r="U4" i="7" s="1"/>
  <c r="AA4" i="7" s="1"/>
  <c r="T4" i="7" a="1"/>
  <c r="T4" i="7" s="1"/>
  <c r="X6" i="7"/>
  <c r="W6" i="7"/>
  <c r="V6" i="7" a="1"/>
  <c r="V6" i="7" s="1"/>
  <c r="U6" i="7" a="1"/>
  <c r="U6" i="7" s="1"/>
  <c r="AA6" i="7" s="1"/>
  <c r="T6" i="7" a="1"/>
  <c r="T6" i="7" s="1"/>
  <c r="X8" i="7"/>
  <c r="W8" i="7"/>
  <c r="V8" i="7" a="1"/>
  <c r="V8" i="7" s="1"/>
  <c r="U8" i="7" a="1"/>
  <c r="U8" i="7" s="1"/>
  <c r="AA8" i="7" s="1"/>
  <c r="T8" i="7" a="1"/>
  <c r="T8" i="7" s="1"/>
  <c r="X10" i="7"/>
  <c r="V10" i="7" a="1"/>
  <c r="V10" i="7" s="1"/>
  <c r="U10" i="7" a="1"/>
  <c r="U10" i="7" s="1"/>
  <c r="AA10" i="7" s="1"/>
  <c r="T10" i="7" a="1"/>
  <c r="T10" i="7" s="1"/>
  <c r="V11" i="8" a="1"/>
  <c r="V11" i="8" s="1"/>
  <c r="X8" i="8"/>
  <c r="X4" i="8"/>
  <c r="Z4" i="8" s="1"/>
  <c r="T6" i="8" a="1"/>
  <c r="T6" i="8" s="1"/>
  <c r="W8" i="8"/>
  <c r="X11" i="8"/>
  <c r="T11" i="8" a="1"/>
  <c r="T11" i="8" s="1"/>
  <c r="V3" i="8" a="1"/>
  <c r="V3" i="8" s="1"/>
  <c r="U4" i="8" a="1"/>
  <c r="U4" i="8" s="1"/>
  <c r="AA4" i="8" s="1"/>
  <c r="V7" i="8" a="1"/>
  <c r="V7" i="8" s="1"/>
  <c r="V5" i="8" a="1"/>
  <c r="V5" i="8" s="1"/>
  <c r="T5" i="8" a="1"/>
  <c r="T5" i="8" s="1"/>
  <c r="X5" i="8"/>
  <c r="V9" i="8" a="1"/>
  <c r="V9" i="8" s="1"/>
  <c r="T9" i="8" a="1"/>
  <c r="T9" i="8" s="1"/>
  <c r="X9" i="8"/>
  <c r="U10" i="8" a="1"/>
  <c r="U10" i="8" s="1"/>
  <c r="AA10" i="8" s="1"/>
  <c r="V8" i="8" a="1"/>
  <c r="V8" i="8" s="1"/>
  <c r="T8" i="8" a="1"/>
  <c r="T8" i="8" s="1"/>
  <c r="U6" i="8" a="1"/>
  <c r="U6" i="8" s="1"/>
  <c r="AA6" i="8" s="1"/>
  <c r="V4" i="8" a="1"/>
  <c r="V4" i="8" s="1"/>
  <c r="T4" i="8" a="1"/>
  <c r="T4" i="8" s="1"/>
  <c r="U11" i="8" a="1"/>
  <c r="U11" i="8" s="1"/>
  <c r="AA11" i="8" s="1"/>
  <c r="W3" i="8"/>
  <c r="W11" i="8"/>
  <c r="W7" i="8"/>
  <c r="U7" i="8" a="1"/>
  <c r="U7" i="8" s="1"/>
  <c r="AA7" i="8" s="1"/>
  <c r="U3" i="8" a="1"/>
  <c r="U3" i="8" s="1"/>
  <c r="AA3" i="8" s="1"/>
  <c r="U5" i="8" a="1"/>
  <c r="U5" i="8" s="1"/>
  <c r="AA5" i="8" s="1"/>
  <c r="U9" i="8" a="1"/>
  <c r="U9" i="8" s="1"/>
  <c r="AA9" i="8" s="1"/>
  <c r="V6" i="8" a="1"/>
  <c r="V6" i="8" s="1"/>
  <c r="U8" i="8" a="1"/>
  <c r="U8" i="8" s="1"/>
  <c r="AA8" i="8" s="1"/>
  <c r="W10" i="8"/>
  <c r="V10" i="8" a="1"/>
  <c r="V10" i="8" s="1"/>
  <c r="T10" i="8" a="1"/>
  <c r="T10" i="8" s="1"/>
  <c r="X3" i="8"/>
  <c r="Z3" i="8" s="1"/>
  <c r="W5" i="8"/>
  <c r="W6" i="8"/>
  <c r="X6" i="8"/>
  <c r="Z6" i="8" s="1"/>
  <c r="X7" i="8"/>
  <c r="Z7" i="8" s="1"/>
  <c r="W9" i="8"/>
  <c r="Y8" i="7"/>
  <c r="X5" i="7"/>
  <c r="Z5" i="7" s="1"/>
  <c r="X9" i="7"/>
  <c r="Z9" i="7" s="1"/>
  <c r="U3" i="7" a="1"/>
  <c r="U3" i="7" s="1"/>
  <c r="AA3" i="7" s="1"/>
  <c r="W3" i="7"/>
  <c r="T5" i="7" a="1"/>
  <c r="T5" i="7" s="1"/>
  <c r="V5" i="7" a="1"/>
  <c r="V5" i="7" s="1"/>
  <c r="U7" i="7" a="1"/>
  <c r="U7" i="7" s="1"/>
  <c r="AA7" i="7" s="1"/>
  <c r="W7" i="7"/>
  <c r="T9" i="7" a="1"/>
  <c r="T9" i="7" s="1"/>
  <c r="V9" i="7" a="1"/>
  <c r="V9" i="7" s="1"/>
  <c r="X3" i="7"/>
  <c r="Z3" i="7" s="1"/>
  <c r="X7" i="7"/>
  <c r="Z7" i="7" s="1"/>
  <c r="W10" i="7"/>
  <c r="T3" i="7" a="1"/>
  <c r="T3" i="7" s="1"/>
  <c r="U5" i="7" a="1"/>
  <c r="U5" i="7" s="1"/>
  <c r="AA5" i="7" s="1"/>
  <c r="T7" i="7" a="1"/>
  <c r="T7" i="7" s="1"/>
  <c r="U9" i="7" a="1"/>
  <c r="U9" i="7" s="1"/>
  <c r="AA9" i="7" s="1"/>
  <c r="W7" i="6"/>
  <c r="U10" i="6" a="1"/>
  <c r="U10" i="6" s="1"/>
  <c r="AA10" i="6" s="1"/>
  <c r="W6" i="6"/>
  <c r="U6" i="6" a="1"/>
  <c r="U6" i="6" s="1"/>
  <c r="AA6" i="6" s="1"/>
  <c r="U7" i="6" a="1"/>
  <c r="U7" i="6" s="1"/>
  <c r="AA7" i="6" s="1"/>
  <c r="V7" i="6" a="1"/>
  <c r="V7" i="6" s="1"/>
  <c r="U8" i="6" a="1"/>
  <c r="U8" i="6" s="1"/>
  <c r="AA8" i="6" s="1"/>
  <c r="T10" i="6" a="1"/>
  <c r="T10" i="6" s="1"/>
  <c r="V4" i="6" a="1"/>
  <c r="V4" i="6" s="1"/>
  <c r="X6" i="6"/>
  <c r="Z6" i="6" s="1"/>
  <c r="W8" i="6"/>
  <c r="W9" i="6"/>
  <c r="Z9" i="6" s="1"/>
  <c r="U9" i="6" a="1"/>
  <c r="U9" i="6" s="1"/>
  <c r="AA9" i="6" s="1"/>
  <c r="V9" i="6" a="1"/>
  <c r="V9" i="6" s="1"/>
  <c r="T9" i="6" a="1"/>
  <c r="T9" i="6" s="1"/>
  <c r="V10" i="6" a="1"/>
  <c r="V10" i="6" s="1"/>
  <c r="W5" i="6"/>
  <c r="Z5" i="6" s="1"/>
  <c r="U5" i="6" a="1"/>
  <c r="U5" i="6" s="1"/>
  <c r="AA5" i="6" s="1"/>
  <c r="V5" i="6" a="1"/>
  <c r="V5" i="6" s="1"/>
  <c r="T5" i="6" a="1"/>
  <c r="T5" i="6" s="1"/>
  <c r="U3" i="6" a="1"/>
  <c r="U3" i="6" s="1"/>
  <c r="AA3" i="6" s="1"/>
  <c r="V3" i="6" a="1"/>
  <c r="V3" i="6" s="1"/>
  <c r="W3" i="6"/>
  <c r="U4" i="6" a="1"/>
  <c r="U4" i="6" s="1"/>
  <c r="AA4" i="6" s="1"/>
  <c r="T6" i="6" a="1"/>
  <c r="T6" i="6" s="1"/>
  <c r="X8" i="6"/>
  <c r="Z8" i="6" s="1"/>
  <c r="T4" i="6" a="1"/>
  <c r="T4" i="6" s="1"/>
  <c r="X7" i="6"/>
  <c r="Z7" i="6" s="1"/>
  <c r="T8" i="6" a="1"/>
  <c r="T8" i="6" s="1"/>
  <c r="W10" i="6"/>
  <c r="Z10" i="6" s="1"/>
  <c r="X4" i="6"/>
  <c r="Z4" i="6" s="1"/>
  <c r="X3" i="6"/>
  <c r="Z3" i="6" s="1"/>
  <c r="T3" i="6" a="1"/>
  <c r="T3" i="6" s="1"/>
  <c r="T7" i="6" a="1"/>
  <c r="T7" i="6" s="1"/>
  <c r="X9" i="5"/>
  <c r="Z9" i="5" s="1"/>
  <c r="Y10" i="5"/>
  <c r="X5" i="5"/>
  <c r="Z5" i="5" s="1"/>
  <c r="U3" i="5" a="1"/>
  <c r="U3" i="5" s="1"/>
  <c r="AA3" i="5" s="1"/>
  <c r="W3" i="5"/>
  <c r="T5" i="5" a="1"/>
  <c r="T5" i="5" s="1"/>
  <c r="V5" i="5" a="1"/>
  <c r="V5" i="5" s="1"/>
  <c r="U7" i="5" a="1"/>
  <c r="U7" i="5" s="1"/>
  <c r="AA7" i="5" s="1"/>
  <c r="W7" i="5"/>
  <c r="T9" i="5" a="1"/>
  <c r="T9" i="5" s="1"/>
  <c r="V9" i="5" a="1"/>
  <c r="V9" i="5" s="1"/>
  <c r="X3" i="5"/>
  <c r="Z3" i="5" s="1"/>
  <c r="X7" i="5"/>
  <c r="Z7" i="5" s="1"/>
  <c r="T3" i="5" a="1"/>
  <c r="T3" i="5" s="1"/>
  <c r="U5" i="5" a="1"/>
  <c r="U5" i="5" s="1"/>
  <c r="AA5" i="5" s="1"/>
  <c r="T7" i="5" a="1"/>
  <c r="T7" i="5" s="1"/>
  <c r="Z6" i="4"/>
  <c r="Y6" i="4"/>
  <c r="X9" i="4"/>
  <c r="Z9" i="4" s="1"/>
  <c r="U3" i="4" a="1"/>
  <c r="U3" i="4" s="1"/>
  <c r="AA3" i="4" s="1"/>
  <c r="W3" i="4"/>
  <c r="T5" i="4" a="1"/>
  <c r="T5" i="4" s="1"/>
  <c r="V5" i="4" a="1"/>
  <c r="V5" i="4" s="1"/>
  <c r="U7" i="4" a="1"/>
  <c r="U7" i="4" s="1"/>
  <c r="AA7" i="4" s="1"/>
  <c r="W7" i="4"/>
  <c r="T9" i="4" a="1"/>
  <c r="T9" i="4" s="1"/>
  <c r="V9" i="4" a="1"/>
  <c r="V9" i="4" s="1"/>
  <c r="X3" i="4"/>
  <c r="Z3" i="4" s="1"/>
  <c r="X7" i="4"/>
  <c r="Z7" i="4" s="1"/>
  <c r="V8" i="4" a="1"/>
  <c r="V8" i="4" s="1"/>
  <c r="W10" i="4"/>
  <c r="X5" i="4"/>
  <c r="Z5" i="4" s="1"/>
  <c r="T3" i="4" a="1"/>
  <c r="T3" i="4" s="1"/>
  <c r="U5" i="4" a="1"/>
  <c r="U5" i="4" s="1"/>
  <c r="AA5" i="4" s="1"/>
  <c r="T7" i="4" a="1"/>
  <c r="T7" i="4" s="1"/>
  <c r="U9" i="4" a="1"/>
  <c r="U9" i="4" s="1"/>
  <c r="AA9" i="4" s="1"/>
  <c r="O8" i="15" l="1"/>
  <c r="O7" i="15"/>
  <c r="O9" i="15"/>
  <c r="O6" i="15"/>
  <c r="O10" i="15"/>
  <c r="O5" i="15"/>
  <c r="O11" i="15"/>
  <c r="O4" i="15"/>
  <c r="O3" i="15"/>
  <c r="Z6" i="5"/>
  <c r="Z8" i="5"/>
  <c r="Z4" i="5"/>
  <c r="Z10" i="5"/>
  <c r="Z8" i="4"/>
  <c r="Z4" i="4"/>
  <c r="Z10" i="4"/>
  <c r="O8" i="14"/>
  <c r="O5" i="16"/>
  <c r="O9" i="16"/>
  <c r="O7" i="16"/>
  <c r="O10" i="16"/>
  <c r="O6" i="16"/>
  <c r="O11" i="16"/>
  <c r="O3" i="16"/>
  <c r="O12" i="16"/>
  <c r="Z6" i="7"/>
  <c r="Z8" i="7"/>
  <c r="Z4" i="7"/>
  <c r="Z10" i="7"/>
  <c r="Z8" i="8"/>
  <c r="Z9" i="8"/>
  <c r="Z5" i="8"/>
  <c r="Z10" i="8"/>
  <c r="Z11" i="8"/>
  <c r="O9" i="14"/>
  <c r="O5" i="14"/>
  <c r="O6" i="14"/>
  <c r="O11" i="14"/>
  <c r="O12" i="14"/>
  <c r="AB4" i="5"/>
  <c r="Y4" i="4"/>
  <c r="AB4" i="4" s="1"/>
  <c r="Y8" i="5"/>
  <c r="AB8" i="5" s="1"/>
  <c r="Y6" i="7"/>
  <c r="AB6" i="7" s="1"/>
  <c r="Y4" i="8"/>
  <c r="AB4" i="8" s="1"/>
  <c r="O6" i="17"/>
  <c r="O4" i="17"/>
  <c r="O5" i="17"/>
  <c r="O8" i="17"/>
  <c r="O9" i="17"/>
  <c r="O10" i="17"/>
  <c r="O11" i="17"/>
  <c r="O12" i="17"/>
  <c r="Y4" i="7"/>
  <c r="AB4" i="7" s="1"/>
  <c r="Y6" i="5"/>
  <c r="AB6" i="5" s="1"/>
  <c r="AB8" i="4"/>
  <c r="AB10" i="5"/>
  <c r="AB8" i="7"/>
  <c r="AB6" i="4"/>
  <c r="Y8" i="8"/>
  <c r="AB8" i="8" s="1"/>
  <c r="Y3" i="8"/>
  <c r="AB3" i="8" s="1"/>
  <c r="Y6" i="8"/>
  <c r="AB6" i="8" s="1"/>
  <c r="Y7" i="8"/>
  <c r="AB7" i="8" s="1"/>
  <c r="Y9" i="8"/>
  <c r="AB9" i="8" s="1"/>
  <c r="Y5" i="8"/>
  <c r="AB5" i="8" s="1"/>
  <c r="Y10" i="8"/>
  <c r="AB10" i="8" s="1"/>
  <c r="Y11" i="8"/>
  <c r="AB11" i="8" s="1"/>
  <c r="Y3" i="7"/>
  <c r="AB3" i="7" s="1"/>
  <c r="Y5" i="7"/>
  <c r="AB5" i="7" s="1"/>
  <c r="Y9" i="7"/>
  <c r="AB9" i="7" s="1"/>
  <c r="Y10" i="7"/>
  <c r="AB10" i="7" s="1"/>
  <c r="Y7" i="7"/>
  <c r="AB7" i="7" s="1"/>
  <c r="Y5" i="6"/>
  <c r="AB5" i="6" s="1"/>
  <c r="Y8" i="6"/>
  <c r="AB8" i="6" s="1"/>
  <c r="Y6" i="6"/>
  <c r="AB6" i="6" s="1"/>
  <c r="Y4" i="6"/>
  <c r="AB4" i="6" s="1"/>
  <c r="Y10" i="6"/>
  <c r="AB10" i="6" s="1"/>
  <c r="Y9" i="6"/>
  <c r="AB9" i="6" s="1"/>
  <c r="Y3" i="6"/>
  <c r="AB3" i="6" s="1"/>
  <c r="Y7" i="6"/>
  <c r="AB7" i="6" s="1"/>
  <c r="Y7" i="5"/>
  <c r="AB7" i="5" s="1"/>
  <c r="Y5" i="5"/>
  <c r="AB5" i="5" s="1"/>
  <c r="Y3" i="5"/>
  <c r="AB3" i="5" s="1"/>
  <c r="Y9" i="5"/>
  <c r="AB9" i="5" s="1"/>
  <c r="Y5" i="4"/>
  <c r="AB5" i="4" s="1"/>
  <c r="Y10" i="4"/>
  <c r="AB10" i="4" s="1"/>
  <c r="Y3" i="4"/>
  <c r="AB3" i="4" s="1"/>
  <c r="Y7" i="4"/>
  <c r="AB7" i="4" s="1"/>
  <c r="Y9" i="4"/>
  <c r="AB9" i="4" s="1"/>
  <c r="H9" i="8" l="1" a="1"/>
  <c r="H9" i="8" s="1"/>
  <c r="H5" i="8" a="1"/>
  <c r="H5" i="8" s="1"/>
  <c r="H6" i="8" a="1"/>
  <c r="H6" i="8" s="1"/>
  <c r="H11" i="8" a="1"/>
  <c r="H11" i="8" s="1"/>
  <c r="H10" i="8" a="1"/>
  <c r="H10" i="8" s="1"/>
  <c r="H7" i="8" a="1"/>
  <c r="H7" i="8" s="1"/>
  <c r="H4" i="8" a="1"/>
  <c r="H4" i="8" s="1"/>
  <c r="H3" i="8" a="1"/>
  <c r="H3" i="8" s="1"/>
  <c r="H8" i="8" a="1"/>
  <c r="H8" i="8" s="1"/>
  <c r="H8" i="7" a="1"/>
  <c r="H8" i="7" s="1"/>
  <c r="H4" i="7" a="1"/>
  <c r="H4" i="7" s="1"/>
  <c r="H9" i="7" a="1"/>
  <c r="H9" i="7" s="1"/>
  <c r="H5" i="7" a="1"/>
  <c r="H5" i="7" s="1"/>
  <c r="H10" i="7" a="1"/>
  <c r="H10" i="7" s="1"/>
  <c r="H6" i="7" a="1"/>
  <c r="H6" i="7" s="1"/>
  <c r="H7" i="7" a="1"/>
  <c r="H7" i="7" s="1"/>
  <c r="H3" i="7" a="1"/>
  <c r="H3" i="7" s="1"/>
  <c r="H8" i="6" a="1"/>
  <c r="H8" i="6" s="1"/>
  <c r="H4" i="6" a="1"/>
  <c r="H4" i="6" s="1"/>
  <c r="H5" i="6" a="1"/>
  <c r="H5" i="6" s="1"/>
  <c r="H6" i="6" a="1"/>
  <c r="H6" i="6" s="1"/>
  <c r="H9" i="6" a="1"/>
  <c r="H9" i="6" s="1"/>
  <c r="H10" i="6" a="1"/>
  <c r="H10" i="6" s="1"/>
  <c r="H7" i="6" a="1"/>
  <c r="H7" i="6" s="1"/>
  <c r="H3" i="6" a="1"/>
  <c r="H3" i="6" s="1"/>
  <c r="H8" i="5" a="1"/>
  <c r="H8" i="5" s="1"/>
  <c r="H4" i="5" a="1"/>
  <c r="H4" i="5" s="1"/>
  <c r="H9" i="5" a="1"/>
  <c r="H9" i="5" s="1"/>
  <c r="H5" i="5" a="1"/>
  <c r="H5" i="5" s="1"/>
  <c r="H10" i="5" a="1"/>
  <c r="H10" i="5" s="1"/>
  <c r="H6" i="5" a="1"/>
  <c r="H6" i="5" s="1"/>
  <c r="H7" i="5" a="1"/>
  <c r="H7" i="5" s="1"/>
  <c r="H3" i="5" a="1"/>
  <c r="H3" i="5" s="1"/>
  <c r="H8" i="4" a="1"/>
  <c r="H8" i="4" s="1"/>
  <c r="H4" i="4" a="1"/>
  <c r="H4" i="4" s="1"/>
  <c r="H9" i="4" a="1"/>
  <c r="H9" i="4" s="1"/>
  <c r="H5" i="4" a="1"/>
  <c r="H5" i="4" s="1"/>
  <c r="H7" i="4" a="1"/>
  <c r="H7" i="4" s="1"/>
  <c r="H3" i="4" a="1"/>
  <c r="H3" i="4" s="1"/>
  <c r="H10" i="4" a="1"/>
  <c r="H10" i="4" s="1"/>
  <c r="H6" i="4" a="1"/>
  <c r="H6" i="4" s="1"/>
  <c r="M11" i="8" l="1"/>
  <c r="I11" i="8"/>
  <c r="K11" i="8"/>
  <c r="P11" i="8"/>
  <c r="L11" i="8"/>
  <c r="N11" i="8"/>
  <c r="J11" i="8"/>
  <c r="N4" i="8"/>
  <c r="J4" i="8"/>
  <c r="M4" i="8"/>
  <c r="I4" i="8"/>
  <c r="P4" i="8"/>
  <c r="L4" i="8"/>
  <c r="K4" i="8"/>
  <c r="P6" i="8"/>
  <c r="L6" i="8"/>
  <c r="K6" i="8"/>
  <c r="I6" i="8"/>
  <c r="M6" i="8"/>
  <c r="O6" i="8" s="1"/>
  <c r="J6" i="8"/>
  <c r="N6" i="8"/>
  <c r="M3" i="8"/>
  <c r="I3" i="8"/>
  <c r="P3" i="8"/>
  <c r="L3" i="8"/>
  <c r="J3" i="8"/>
  <c r="N3" i="8"/>
  <c r="K3" i="8"/>
  <c r="M7" i="8"/>
  <c r="I7" i="8"/>
  <c r="P7" i="8"/>
  <c r="L7" i="8"/>
  <c r="J7" i="8"/>
  <c r="N7" i="8"/>
  <c r="K7" i="8"/>
  <c r="K5" i="8"/>
  <c r="N5" i="8"/>
  <c r="J5" i="8"/>
  <c r="P5" i="8"/>
  <c r="L5" i="8"/>
  <c r="I5" i="8"/>
  <c r="M5" i="8"/>
  <c r="O5" i="8" s="1"/>
  <c r="N8" i="8"/>
  <c r="J8" i="8"/>
  <c r="M8" i="8"/>
  <c r="I8" i="8"/>
  <c r="P8" i="8"/>
  <c r="L8" i="8"/>
  <c r="K8" i="8"/>
  <c r="P10" i="8"/>
  <c r="L10" i="8"/>
  <c r="N10" i="8"/>
  <c r="K10" i="8"/>
  <c r="I10" i="8"/>
  <c r="M10" i="8"/>
  <c r="O10" i="8" s="1"/>
  <c r="J10" i="8"/>
  <c r="K9" i="8"/>
  <c r="N9" i="8"/>
  <c r="J9" i="8"/>
  <c r="P9" i="8"/>
  <c r="M9" i="8"/>
  <c r="L9" i="8"/>
  <c r="I9" i="8"/>
  <c r="N3" i="7"/>
  <c r="J3" i="7"/>
  <c r="M3" i="7"/>
  <c r="I3" i="7"/>
  <c r="P3" i="7"/>
  <c r="L3" i="7"/>
  <c r="K3" i="7"/>
  <c r="N7" i="7"/>
  <c r="J7" i="7"/>
  <c r="M7" i="7"/>
  <c r="I7" i="7"/>
  <c r="P7" i="7"/>
  <c r="L7" i="7"/>
  <c r="K7" i="7"/>
  <c r="P9" i="7"/>
  <c r="L9" i="7"/>
  <c r="K9" i="7"/>
  <c r="N9" i="7"/>
  <c r="J9" i="7"/>
  <c r="M9" i="7"/>
  <c r="O9" i="7" s="1"/>
  <c r="I9" i="7"/>
  <c r="P5" i="7"/>
  <c r="L5" i="7"/>
  <c r="K5" i="7"/>
  <c r="N5" i="7"/>
  <c r="J5" i="7"/>
  <c r="M5" i="7"/>
  <c r="O5" i="7" s="1"/>
  <c r="I5" i="7"/>
  <c r="M6" i="7"/>
  <c r="I6" i="7"/>
  <c r="P6" i="7"/>
  <c r="L6" i="7"/>
  <c r="K6" i="7"/>
  <c r="N6" i="7"/>
  <c r="J6" i="7"/>
  <c r="K4" i="7"/>
  <c r="N4" i="7"/>
  <c r="J4" i="7"/>
  <c r="M4" i="7"/>
  <c r="I4" i="7"/>
  <c r="P4" i="7"/>
  <c r="L4" i="7"/>
  <c r="M10" i="7"/>
  <c r="I10" i="7"/>
  <c r="P10" i="7"/>
  <c r="L10" i="7"/>
  <c r="K10" i="7"/>
  <c r="N10" i="7"/>
  <c r="J10" i="7"/>
  <c r="K8" i="7"/>
  <c r="N8" i="7"/>
  <c r="J8" i="7"/>
  <c r="M8" i="7"/>
  <c r="I8" i="7"/>
  <c r="P8" i="7"/>
  <c r="L8" i="7"/>
  <c r="N7" i="6"/>
  <c r="J7" i="6"/>
  <c r="P7" i="6"/>
  <c r="L7" i="6"/>
  <c r="M7" i="6"/>
  <c r="O7" i="6" s="1"/>
  <c r="I7" i="6"/>
  <c r="K7" i="6"/>
  <c r="P5" i="6"/>
  <c r="L5" i="6"/>
  <c r="K5" i="6"/>
  <c r="N5" i="6"/>
  <c r="J5" i="6"/>
  <c r="M5" i="6"/>
  <c r="O5" i="6" s="1"/>
  <c r="I5" i="6"/>
  <c r="M10" i="6"/>
  <c r="I10" i="6"/>
  <c r="P10" i="6"/>
  <c r="L10" i="6"/>
  <c r="K10" i="6"/>
  <c r="N10" i="6"/>
  <c r="J10" i="6"/>
  <c r="K4" i="6"/>
  <c r="J4" i="6"/>
  <c r="M4" i="6"/>
  <c r="N4" i="6"/>
  <c r="I4" i="6"/>
  <c r="P4" i="6"/>
  <c r="L4" i="6"/>
  <c r="P9" i="6"/>
  <c r="L9" i="6"/>
  <c r="N9" i="6"/>
  <c r="J9" i="6"/>
  <c r="K9" i="6"/>
  <c r="M9" i="6"/>
  <c r="O9" i="6" s="1"/>
  <c r="I9" i="6"/>
  <c r="K8" i="6"/>
  <c r="N8" i="6"/>
  <c r="J8" i="6"/>
  <c r="M8" i="6"/>
  <c r="I8" i="6"/>
  <c r="P8" i="6"/>
  <c r="L8" i="6"/>
  <c r="N3" i="6"/>
  <c r="J3" i="6"/>
  <c r="M3" i="6"/>
  <c r="I3" i="6"/>
  <c r="K3" i="6"/>
  <c r="P3" i="6"/>
  <c r="L3" i="6"/>
  <c r="M6" i="6"/>
  <c r="I6" i="6"/>
  <c r="P6" i="6"/>
  <c r="L6" i="6"/>
  <c r="K6" i="6"/>
  <c r="J6" i="6"/>
  <c r="N6" i="6"/>
  <c r="N3" i="5"/>
  <c r="J3" i="5"/>
  <c r="M3" i="5"/>
  <c r="I3" i="5"/>
  <c r="P3" i="5"/>
  <c r="L3" i="5"/>
  <c r="K3" i="5"/>
  <c r="P5" i="5"/>
  <c r="L5" i="5"/>
  <c r="K5" i="5"/>
  <c r="N5" i="5"/>
  <c r="J5" i="5"/>
  <c r="M5" i="5"/>
  <c r="O5" i="5" s="1"/>
  <c r="I5" i="5"/>
  <c r="N7" i="5"/>
  <c r="J7" i="5"/>
  <c r="M7" i="5"/>
  <c r="I7" i="5"/>
  <c r="P7" i="5"/>
  <c r="L7" i="5"/>
  <c r="K7" i="5"/>
  <c r="P9" i="5"/>
  <c r="L9" i="5"/>
  <c r="K9" i="5"/>
  <c r="N9" i="5"/>
  <c r="J9" i="5"/>
  <c r="M9" i="5"/>
  <c r="O9" i="5" s="1"/>
  <c r="I9" i="5"/>
  <c r="M6" i="5"/>
  <c r="I6" i="5"/>
  <c r="P6" i="5"/>
  <c r="L6" i="5"/>
  <c r="K6" i="5"/>
  <c r="N6" i="5"/>
  <c r="J6" i="5"/>
  <c r="K4" i="5"/>
  <c r="N4" i="5"/>
  <c r="J4" i="5"/>
  <c r="M4" i="5"/>
  <c r="I4" i="5"/>
  <c r="P4" i="5"/>
  <c r="L4" i="5"/>
  <c r="M10" i="5"/>
  <c r="I10" i="5"/>
  <c r="P10" i="5"/>
  <c r="L10" i="5"/>
  <c r="K10" i="5"/>
  <c r="N10" i="5"/>
  <c r="J10" i="5"/>
  <c r="K8" i="5"/>
  <c r="N8" i="5"/>
  <c r="J8" i="5"/>
  <c r="M8" i="5"/>
  <c r="I8" i="5"/>
  <c r="P8" i="5"/>
  <c r="L8" i="5"/>
  <c r="P5" i="4"/>
  <c r="L5" i="4"/>
  <c r="M5" i="4"/>
  <c r="O5" i="4" s="1"/>
  <c r="I5" i="4"/>
  <c r="K5" i="4"/>
  <c r="N5" i="4"/>
  <c r="J5" i="4"/>
  <c r="M10" i="4"/>
  <c r="I10" i="4"/>
  <c r="P10" i="4"/>
  <c r="L10" i="4"/>
  <c r="K10" i="4"/>
  <c r="N10" i="4"/>
  <c r="J10" i="4"/>
  <c r="P9" i="4"/>
  <c r="L9" i="4"/>
  <c r="K9" i="4"/>
  <c r="N9" i="4"/>
  <c r="J9" i="4"/>
  <c r="M9" i="4"/>
  <c r="O9" i="4" s="1"/>
  <c r="I9" i="4"/>
  <c r="M6" i="4"/>
  <c r="I6" i="4"/>
  <c r="N6" i="4"/>
  <c r="J6" i="4"/>
  <c r="P6" i="4"/>
  <c r="L6" i="4"/>
  <c r="K6" i="4"/>
  <c r="N3" i="4"/>
  <c r="J3" i="4"/>
  <c r="M3" i="4"/>
  <c r="I3" i="4"/>
  <c r="K3" i="4"/>
  <c r="P3" i="4"/>
  <c r="L3" i="4"/>
  <c r="K4" i="4"/>
  <c r="N4" i="4"/>
  <c r="J4" i="4"/>
  <c r="P4" i="4"/>
  <c r="L4" i="4"/>
  <c r="M4" i="4"/>
  <c r="O4" i="4" s="1"/>
  <c r="I4" i="4"/>
  <c r="N7" i="4"/>
  <c r="J7" i="4"/>
  <c r="M7" i="4"/>
  <c r="I7" i="4"/>
  <c r="K7" i="4"/>
  <c r="P7" i="4"/>
  <c r="L7" i="4"/>
  <c r="K8" i="4"/>
  <c r="N8" i="4"/>
  <c r="J8" i="4"/>
  <c r="P8" i="4"/>
  <c r="L8" i="4"/>
  <c r="M8" i="4"/>
  <c r="O8" i="4" s="1"/>
  <c r="I8" i="4"/>
  <c r="O6" i="5" l="1"/>
  <c r="O7" i="5"/>
  <c r="O8" i="5"/>
  <c r="O4" i="5"/>
  <c r="O3" i="5"/>
  <c r="O10" i="5"/>
  <c r="O7" i="4"/>
  <c r="O6" i="4"/>
  <c r="O3" i="4"/>
  <c r="O10" i="4"/>
  <c r="O7" i="8"/>
  <c r="O3" i="6"/>
  <c r="O6" i="6"/>
  <c r="O8" i="6"/>
  <c r="O6" i="7"/>
  <c r="O7" i="7"/>
  <c r="O8" i="7"/>
  <c r="O4" i="7"/>
  <c r="O3" i="7"/>
  <c r="O10" i="7"/>
  <c r="O8" i="8"/>
  <c r="O9" i="8"/>
  <c r="O4" i="8"/>
  <c r="O3" i="8"/>
  <c r="O11" i="8"/>
  <c r="O4" i="6"/>
  <c r="O10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<sst xmlns="http://schemas.openxmlformats.org/spreadsheetml/2006/main" count="840" uniqueCount="144">
  <si>
    <t>Grupa E</t>
  </si>
  <si>
    <t>Skończona</t>
  </si>
  <si>
    <t>Pozostało</t>
  </si>
  <si>
    <t>Zespół</t>
  </si>
  <si>
    <t>GRY</t>
  </si>
  <si>
    <t>WYGRANE</t>
  </si>
  <si>
    <t>PRZEGRANE</t>
  </si>
  <si>
    <t>ZDOBYTE</t>
  </si>
  <si>
    <t>STRACONE</t>
  </si>
  <si>
    <t>RÓŻNICA</t>
  </si>
  <si>
    <t>STOSUNEK</t>
  </si>
  <si>
    <t>PUNKTY</t>
  </si>
  <si>
    <t>W</t>
  </si>
  <si>
    <t>P</t>
  </si>
  <si>
    <t>ZD</t>
  </si>
  <si>
    <t>ST</t>
  </si>
  <si>
    <t>R</t>
  </si>
  <si>
    <t>S</t>
  </si>
  <si>
    <t>rank</t>
  </si>
  <si>
    <t>UKS LESZNOWOLA 7</t>
  </si>
  <si>
    <t>METRO WARSZAWA 4</t>
  </si>
  <si>
    <t>ISKRA WARSZAWA 3</t>
  </si>
  <si>
    <t>UKS LESZNOWOLA 16</t>
  </si>
  <si>
    <t>SASKA WARSZAWA 2</t>
  </si>
  <si>
    <t>ORLETA RASZYN 2</t>
  </si>
  <si>
    <t>PERLA ZLOTOKLOS 3</t>
  </si>
  <si>
    <t>SASKA WARSZAWA 1</t>
  </si>
  <si>
    <t>HOME</t>
  </si>
  <si>
    <t>VISTOR</t>
  </si>
  <si>
    <t>:</t>
  </si>
  <si>
    <t xml:space="preserve"> </t>
  </si>
  <si>
    <t>Grupa F</t>
  </si>
  <si>
    <t>ORLĘTA RASZYN 4</t>
  </si>
  <si>
    <t>SPARTA GRODZISK MAZ. 3</t>
  </si>
  <si>
    <t>MUKS KRÓTKA 5</t>
  </si>
  <si>
    <t>OLIMP MIŃSK MAZ. 4</t>
  </si>
  <si>
    <t>UKS LESZNOWOLA 9</t>
  </si>
  <si>
    <t>VICTORIA LUBOWIDZ 3</t>
  </si>
  <si>
    <t>PRASKA 30 3</t>
  </si>
  <si>
    <t>LOS NOWY DWÓR MAZ. 1</t>
  </si>
  <si>
    <t>Grupa G</t>
  </si>
  <si>
    <t>PRASKA 30 4</t>
  </si>
  <si>
    <t>SPARTA GRODZISK MAZ. 2</t>
  </si>
  <si>
    <t>UKS LESZNOWOLA 10</t>
  </si>
  <si>
    <t>SASKA WARSZAWA 3</t>
  </si>
  <si>
    <t>GLKS NADARZYN 9</t>
  </si>
  <si>
    <t>PRASKA 30 5</t>
  </si>
  <si>
    <t>GLKS NADARZYN 8</t>
  </si>
  <si>
    <t>OLIMP MIŃSK MAZ. 6</t>
  </si>
  <si>
    <t>Grupa H</t>
  </si>
  <si>
    <t>GLKS NADARZYN 5</t>
  </si>
  <si>
    <t>PRASKA 30 1</t>
  </si>
  <si>
    <t>GLKS NADARZYN 10</t>
  </si>
  <si>
    <t>RASZYN 8</t>
  </si>
  <si>
    <t>UKS LESZNOWOLA 8</t>
  </si>
  <si>
    <t>UKS LESZNOWOLA 20</t>
  </si>
  <si>
    <t>SPARTA WARSZAWA 2</t>
  </si>
  <si>
    <t>GLKS NADARZYN 1</t>
  </si>
  <si>
    <t>Grupa I</t>
  </si>
  <si>
    <t>ORLĘTA RASZYN 3</t>
  </si>
  <si>
    <t>SPARTA GRODZISK MAZ. 6</t>
  </si>
  <si>
    <t>ORLĘTA RASZYN 12</t>
  </si>
  <si>
    <t>MUKS KRÓTKA 3</t>
  </si>
  <si>
    <t>UKS LESZNOWOLA 21</t>
  </si>
  <si>
    <t>UKS LESZNOWOLA 23</t>
  </si>
  <si>
    <t>DĘBINA NIEPORĘT 2</t>
  </si>
  <si>
    <t>SPARTA GRODZISK MAZ. 5</t>
  </si>
  <si>
    <t>OLIMP MIŃSK MAZ. 15</t>
  </si>
  <si>
    <t>VISITOR</t>
  </si>
  <si>
    <t>Grupa J</t>
  </si>
  <si>
    <t>OLIMP MIŃSK MAZ. 5</t>
  </si>
  <si>
    <t>MUKS KRÓTKA 2</t>
  </si>
  <si>
    <t>UKS LESZNOWOLA 22</t>
  </si>
  <si>
    <t>LEN ŻYRARDÓW 5</t>
  </si>
  <si>
    <t>PRASKA 30 6</t>
  </si>
  <si>
    <t>DĘBINA NIEPORĘT 1</t>
  </si>
  <si>
    <t>ORLĘTA RASZYN 9</t>
  </si>
  <si>
    <t>SASKA WARSZAWA 5</t>
  </si>
  <si>
    <t>OLIMP MIŃSK MAZ. 14</t>
  </si>
  <si>
    <t>Grupa K</t>
  </si>
  <si>
    <t>SPARTA WARSZAWA 3</t>
  </si>
  <si>
    <t>LEN ŻYRARDÓW 4</t>
  </si>
  <si>
    <t>ORLĘTA RASZYN 13</t>
  </si>
  <si>
    <t>UKS LESZNOWOLA 14</t>
  </si>
  <si>
    <t>UKS LESZNOWOLA 11</t>
  </si>
  <si>
    <t>OLIMP MIŃSK MAZ. 11</t>
  </si>
  <si>
    <t>GLKS NADARZYN 11</t>
  </si>
  <si>
    <t>ORLĘTA RASZYN 7</t>
  </si>
  <si>
    <t>LEN ŻYRARDÓW 12</t>
  </si>
  <si>
    <t>Grupa L</t>
  </si>
  <si>
    <t>UKS LESZNOWOLA 25</t>
  </si>
  <si>
    <t>OLIMP MIŃSK MAZ. 8</t>
  </si>
  <si>
    <t>LEN ŻYRARDÓW 15</t>
  </si>
  <si>
    <t>RAS SZYDŁOWIEC 2</t>
  </si>
  <si>
    <t>SPARTA GRODZISK MAZ. 4</t>
  </si>
  <si>
    <t>UKS LESZNOWOLA 5</t>
  </si>
  <si>
    <t>DĘBINA NIEPORĘT 3</t>
  </si>
  <si>
    <t>UKS LESZNOWOLA 17</t>
  </si>
  <si>
    <t>ORLĘTA RASZYN 10</t>
  </si>
  <si>
    <t>Grupa M</t>
  </si>
  <si>
    <t>pozycja</t>
  </si>
  <si>
    <t>OLIMP MIŃSK MAZ. 10</t>
  </si>
  <si>
    <t>LEGIA WARSZAWA 2</t>
  </si>
  <si>
    <t>UKS LESZNOWOLA 244</t>
  </si>
  <si>
    <t>ORLĘTA RASZYN 6</t>
  </si>
  <si>
    <t>OLIMP MIŃSK MAZ. 17</t>
  </si>
  <si>
    <t>GLKS NADARZYN 6</t>
  </si>
  <si>
    <t>UKS LESZNOWOLA 24</t>
  </si>
  <si>
    <t>OLIMP MIŃSK MAZ. 12</t>
  </si>
  <si>
    <t>UKS LESZNOWOLA 12</t>
  </si>
  <si>
    <t>OLIMP MIŃSK MAZ. 7</t>
  </si>
  <si>
    <t>Grupa N</t>
  </si>
  <si>
    <t>GLKS NADARZYN 2</t>
  </si>
  <si>
    <t>OLIMP MIŃSK MAZ. 9</t>
  </si>
  <si>
    <t>ORLĘTA RASZYN 1</t>
  </si>
  <si>
    <t>UKS LESZNOWOLA 19</t>
  </si>
  <si>
    <t>METRO WARSZAWA 6</t>
  </si>
  <si>
    <t>UKS LESZNOWOLA 15</t>
  </si>
  <si>
    <t>ISKRA WARSZAWA 2</t>
  </si>
  <si>
    <t>MUKS KRÓTKA 4</t>
  </si>
  <si>
    <t>OLIMP MIŃSK MAZ. 13</t>
  </si>
  <si>
    <t>LEN ŻYRARDÓW 8</t>
  </si>
  <si>
    <t>Grupa O</t>
  </si>
  <si>
    <t>VICTORIA LUBOWIDZ 4</t>
  </si>
  <si>
    <t>GLKS NADARZYN 12</t>
  </si>
  <si>
    <t>RAS SZYDŁOWIEC 3</t>
  </si>
  <si>
    <t>LEN ŻYRARDÓW 13</t>
  </si>
  <si>
    <t>RAS SZYDŁOWIEC 1</t>
  </si>
  <si>
    <t>ORLĘTA RASZYN 14</t>
  </si>
  <si>
    <t>UKS LESZNOWOLA 18</t>
  </si>
  <si>
    <t>ORLĘTA RASZYN 141</t>
  </si>
  <si>
    <t>LEN ŻYRARDÓW 6</t>
  </si>
  <si>
    <t>LEN ŻYRARDÓW 9</t>
  </si>
  <si>
    <t>Grupa P</t>
  </si>
  <si>
    <t>OLIMP MIŃSK MAZ. 16</t>
  </si>
  <si>
    <t>SASKA WARSZAWA 4</t>
  </si>
  <si>
    <t>ORLĘTA RASZYN 11</t>
  </si>
  <si>
    <t>LEN ŻYRARDÓW 16</t>
  </si>
  <si>
    <t>ORLĘTA RASZYN 5</t>
  </si>
  <si>
    <t>OLIMP TŁUSZCZ 1</t>
  </si>
  <si>
    <t>LEN ŻYRARDÓW 10</t>
  </si>
  <si>
    <t>LEN ŻYRARDÓW 14</t>
  </si>
  <si>
    <t>LEN ŻYRARDÓW 3</t>
  </si>
  <si>
    <t>VARSOVIA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</si>
</sst>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82">
    <xf numFmtId="0" fontId="0" fillId="0" borderId="0" xfId="0"/>
    <xf numFmtId="0" fontId="6" fillId="0" borderId="0" xfId="1" applyFont="1"/>
    <xf numFmtId="0" fontId="4" fillId="0" borderId="0" xfId="1"/>
    <xf numFmtId="0" fontId="4" fillId="0" borderId="0" xfId="1" applyAlignment="1">
      <alignment horizontal="center"/>
    </xf>
    <xf numFmtId="0" fontId="4" fillId="0" borderId="1" xfId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2" xfId="1" applyBorder="1" applyAlignment="1">
      <alignment horizontal="center"/>
    </xf>
    <xf numFmtId="0" fontId="4" fillId="0" borderId="4" xfId="1" applyBorder="1" applyAlignment="1">
      <alignment horizontal="center"/>
    </xf>
    <xf numFmtId="0" fontId="4" fillId="0" borderId="3" xfId="1" applyBorder="1" applyAlignment="1">
      <alignment horizontal="center"/>
    </xf>
    <xf numFmtId="0" fontId="5" fillId="0" borderId="5" xfId="1" applyFont="1" applyBorder="1"/>
    <xf numFmtId="0" fontId="7" fillId="0" borderId="0" xfId="1" applyFont="1"/>
    <xf numFmtId="0" fontId="4" fillId="0" borderId="6" xfId="1" applyBorder="1" applyAlignment="1">
      <alignment horizontal="center"/>
    </xf>
    <xf numFmtId="0" fontId="4" fillId="0" borderId="5" xfId="1" applyBorder="1" applyAlignment="1">
      <alignment horizontal="center"/>
    </xf>
    <xf numFmtId="0" fontId="4" fillId="0" borderId="7" xfId="1" applyBorder="1" applyAlignment="1">
      <alignment horizontal="center"/>
    </xf>
    <xf numFmtId="0" fontId="8" fillId="0" borderId="8" xfId="1" applyFont="1" applyBorder="1"/>
    <xf numFmtId="0" fontId="4" fillId="0" borderId="9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0" xfId="1" applyBorder="1"/>
    <xf numFmtId="0" fontId="4" fillId="0" borderId="5" xfId="1" applyBorder="1"/>
    <xf numFmtId="0" fontId="8" fillId="0" borderId="0" xfId="1" applyFont="1"/>
    <xf numFmtId="0" fontId="4" fillId="0" borderId="12" xfId="1" applyBorder="1" applyAlignment="1">
      <alignment horizontal="center"/>
    </xf>
    <xf numFmtId="0" fontId="4" fillId="0" borderId="13" xfId="1" applyBorder="1" applyAlignment="1">
      <alignment horizontal="center"/>
    </xf>
    <xf numFmtId="0" fontId="4" fillId="0" borderId="14" xfId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5" xfId="0" applyBorder="1"/>
    <xf numFmtId="164" fontId="4" fillId="0" borderId="7" xfId="1" applyNumberFormat="1" applyBorder="1" applyAlignment="1">
      <alignment horizontal="center"/>
    </xf>
    <xf numFmtId="0" fontId="4" fillId="0" borderId="15" xfId="1" applyBorder="1" applyAlignment="1">
      <alignment horizontal="center"/>
    </xf>
    <xf numFmtId="0" fontId="4" fillId="0" borderId="16" xfId="1" applyBorder="1" applyAlignment="1">
      <alignment horizontal="center"/>
    </xf>
    <xf numFmtId="0" fontId="6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3" fillId="0" borderId="1" xfId="2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3" xfId="2" applyBorder="1" applyAlignment="1">
      <alignment horizontal="center"/>
    </xf>
    <xf numFmtId="0" fontId="3" fillId="0" borderId="15" xfId="2" applyBorder="1" applyAlignment="1">
      <alignment horizontal="center"/>
    </xf>
    <xf numFmtId="0" fontId="5" fillId="0" borderId="5" xfId="2" applyFont="1" applyBorder="1"/>
    <xf numFmtId="0" fontId="7" fillId="0" borderId="0" xfId="2" applyFont="1"/>
    <xf numFmtId="0" fontId="3" fillId="0" borderId="6" xfId="2" applyBorder="1" applyAlignment="1">
      <alignment horizontal="center"/>
    </xf>
    <xf numFmtId="0" fontId="3" fillId="0" borderId="5" xfId="2" applyBorder="1" applyAlignment="1">
      <alignment horizontal="center"/>
    </xf>
    <xf numFmtId="164" fontId="3" fillId="0" borderId="7" xfId="2" applyNumberFormat="1" applyBorder="1" applyAlignment="1">
      <alignment horizontal="center"/>
    </xf>
    <xf numFmtId="0" fontId="3" fillId="0" borderId="7" xfId="2" applyBorder="1" applyAlignment="1">
      <alignment horizontal="center"/>
    </xf>
    <xf numFmtId="0" fontId="8" fillId="0" borderId="8" xfId="2" applyFont="1" applyBorder="1"/>
    <xf numFmtId="0" fontId="3" fillId="0" borderId="9" xfId="2" applyBorder="1" applyAlignment="1">
      <alignment horizontal="center"/>
    </xf>
    <xf numFmtId="0" fontId="3" fillId="0" borderId="10" xfId="2" applyBorder="1" applyAlignment="1">
      <alignment horizontal="center"/>
    </xf>
    <xf numFmtId="0" fontId="3" fillId="0" borderId="11" xfId="2" applyBorder="1" applyAlignment="1">
      <alignment horizontal="center"/>
    </xf>
    <xf numFmtId="0" fontId="3" fillId="0" borderId="16" xfId="2" applyBorder="1" applyAlignment="1">
      <alignment horizontal="center"/>
    </xf>
    <xf numFmtId="0" fontId="3" fillId="0" borderId="10" xfId="2" applyBorder="1"/>
    <xf numFmtId="0" fontId="3" fillId="0" borderId="5" xfId="2" applyBorder="1"/>
    <xf numFmtId="0" fontId="8" fillId="0" borderId="0" xfId="2" applyFont="1"/>
    <xf numFmtId="0" fontId="5" fillId="0" borderId="0" xfId="2" applyFont="1" applyAlignment="1">
      <alignment horizontal="center"/>
    </xf>
    <xf numFmtId="0" fontId="6" fillId="0" borderId="0" xfId="3" applyFont="1"/>
    <xf numFmtId="0" fontId="2" fillId="0" borderId="0" xfId="3"/>
    <xf numFmtId="0" fontId="2" fillId="0" borderId="0" xfId="3" applyAlignment="1">
      <alignment horizontal="center"/>
    </xf>
    <xf numFmtId="0" fontId="2" fillId="0" borderId="1" xfId="3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3" xfId="3" applyBorder="1" applyAlignment="1">
      <alignment horizontal="center"/>
    </xf>
    <xf numFmtId="0" fontId="2" fillId="0" borderId="15" xfId="3" applyBorder="1" applyAlignment="1">
      <alignment horizontal="center"/>
    </xf>
    <xf numFmtId="0" fontId="5" fillId="0" borderId="5" xfId="3" applyFont="1" applyBorder="1"/>
    <xf numFmtId="0" fontId="7" fillId="0" borderId="0" xfId="3" applyFont="1"/>
    <xf numFmtId="0" fontId="2" fillId="0" borderId="5" xfId="3" applyBorder="1" applyAlignment="1">
      <alignment horizontal="center"/>
    </xf>
    <xf numFmtId="164" fontId="2" fillId="0" borderId="7" xfId="3" applyNumberFormat="1" applyBorder="1" applyAlignment="1">
      <alignment horizontal="center"/>
    </xf>
    <xf numFmtId="0" fontId="2" fillId="0" borderId="7" xfId="3" applyBorder="1" applyAlignment="1">
      <alignment horizontal="center"/>
    </xf>
    <xf numFmtId="0" fontId="8" fillId="0" borderId="8" xfId="3" applyFont="1" applyBorder="1"/>
    <xf numFmtId="0" fontId="2" fillId="0" borderId="9" xfId="3" applyBorder="1" applyAlignment="1">
      <alignment horizontal="center"/>
    </xf>
    <xf numFmtId="0" fontId="2" fillId="0" borderId="10" xfId="3" applyBorder="1" applyAlignment="1">
      <alignment horizontal="center"/>
    </xf>
    <xf numFmtId="0" fontId="2" fillId="0" borderId="11" xfId="3" applyBorder="1" applyAlignment="1">
      <alignment horizontal="center"/>
    </xf>
    <xf numFmtId="0" fontId="2" fillId="0" borderId="16" xfId="3" applyBorder="1" applyAlignment="1">
      <alignment horizontal="center"/>
    </xf>
    <xf numFmtId="0" fontId="2" fillId="0" borderId="10" xfId="3" applyBorder="1"/>
    <xf numFmtId="0" fontId="8" fillId="0" borderId="0" xfId="3" applyFont="1"/>
    <xf numFmtId="0" fontId="8" fillId="0" borderId="11" xfId="3" applyFont="1" applyBorder="1"/>
    <xf numFmtId="0" fontId="1" fillId="0" borderId="5" xfId="2" applyFont="1" applyBorder="1"/>
    <xf numFmtId="0" fontId="1" fillId="0" borderId="5" xfId="3" applyFont="1" applyBorder="1"/>
    <xf numFmtId="0" fontId="1" fillId="0" borderId="0" xfId="1" applyFont="1"/>
    <xf numFmtId="0" fontId="9" fillId="0" borderId="5" xfId="3" applyFont="1" applyBorder="1"/>
  </cellXfs>
  <cellStyles count="4">
    <cellStyle name="Normalny" xfId="0" builtinId="0"/>
    <cellStyle name="Normalny 2" xfId="1" xr:uid="{F213B1DB-FF04-40C4-80B2-E9E34C6251CD}"/>
    <cellStyle name="Normalny 2 2" xfId="2" xr:uid="{A876CD06-2E63-42F7-BBB9-7AD03B7AC219}"/>
    <cellStyle name="Normalny 2 3" xfId="3" xr:uid="{1648CCB9-93B0-4C19-B4AA-75369F03BE38}"/>
  </cellStyles>
  <dxfs count="156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8DEC223-F73D-4E5F-86F3-B9E15DFE4683}" name="Tabela134567" displayName="Tabela134567" ref="H2:P10" totalsRowShown="0" headerRowDxfId="155" headerRowBorderDxfId="153" tableBorderDxfId="154" totalsRowBorderDxfId="152">
  <tableColumns count="9">
    <tableColumn id="1" xr3:uid="{269D27A9-BCB7-44AB-88E1-C0552CF5653E}" name="Zespół" dataDxfId="151">
      <calculatedColumnFormula array="1">INDEX($S$3:$S$10,MATCH(LARGE($AB$3:$AB$10-ROW($AB$3:$AB$10)/COUNT($AB$3:$AB$10),ROW(H3)-ROW(H$3)+1),$AB$3:$AB$10-ROW($AB$3:$AB$10)/COUNT($AB$3:$AB$10),0))</calculatedColumnFormula>
    </tableColumn>
    <tableColumn id="2" xr3:uid="{571E61C3-CC07-4527-A16F-7C1A00C4D490}" name="GRY" dataDxfId="150">
      <calculatedColumnFormula>VLOOKUP($H3,$S$3:$AA$10,2,0)</calculatedColumnFormula>
    </tableColumn>
    <tableColumn id="3" xr3:uid="{B6AA7799-78BA-417E-9E46-B668E44B4362}" name="WYGRANE" dataDxfId="149">
      <calculatedColumnFormula>VLOOKUP($H3,$S$3:$AA$10,3,0)</calculatedColumnFormula>
    </tableColumn>
    <tableColumn id="4" xr3:uid="{822E30B6-A63F-4692-91D0-C511D614E131}" name="PRZEGRANE" dataDxfId="148">
      <calculatedColumnFormula>VLOOKUP($H3,$S$3:$AA$10,4,0)</calculatedColumnFormula>
    </tableColumn>
    <tableColumn id="5" xr3:uid="{4904FD2B-3623-445F-96D0-26D52F8E9E20}" name="ZDOBYTE" dataDxfId="147">
      <calculatedColumnFormula>VLOOKUP($H3,$S$3:$AA$10,5,0)</calculatedColumnFormula>
    </tableColumn>
    <tableColumn id="6" xr3:uid="{FCDCFC58-8B4A-4EDD-B91A-752C49162DAF}" name="STRACONE" dataDxfId="146">
      <calculatedColumnFormula>VLOOKUP($H3,$S$3:$AA$10,6,0)</calculatedColumnFormula>
    </tableColumn>
    <tableColumn id="7" xr3:uid="{BD8926BB-3147-4612-8951-8EDABBD1474A}" name="RÓŻNICA" dataDxfId="145">
      <calculatedColumnFormula>VLOOKUP($H3,$S$3:$AA$10,7,0)</calculatedColumnFormula>
    </tableColumn>
    <tableColumn id="9" xr3:uid="{E3A00546-C55B-468D-9395-0DC5AABFD7BB}" name="STOSUNEK" dataDxfId="144" dataCellStyle="Normalny 2">
      <calculatedColumnFormula>IF(Tabela134567[[#This Row],[STRACONE]]=0,0,Tabela134567[[#This Row],[ZDOBYTE]]/Tabela134567[[#This Row],[STRACONE]])</calculatedColumnFormula>
    </tableColumn>
    <tableColumn id="8" xr3:uid="{F03C6965-DBDA-4630-BC99-EED65512A753}" name="PUNKTY" dataDxfId="143">
      <calculatedColumnFormula>VLOOKUP($H3,$S$3:$AB$10,9,0)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C2F0028-CA4D-47FA-94CE-95AE45288BD3}" name="Tabela13456" displayName="Tabela13456" ref="H2:P10" totalsRowShown="0" headerRowDxfId="142" headerRowBorderDxfId="140" tableBorderDxfId="141" totalsRowBorderDxfId="139">
  <tableColumns count="9">
    <tableColumn id="1" xr3:uid="{BD7DBDE6-5B56-4B3E-B940-0A2490B93970}" name="Zespół" dataDxfId="138">
      <calculatedColumnFormula array="1">INDEX($S$3:$S$10,MATCH(LARGE($AB$3:$AB$10-ROW($AB$3:$AB$10)/COUNT($AB$3:$AB$10),ROW(H3)-ROW(H$3)+1),$AB$3:$AB$10-ROW($AB$3:$AB$10)/COUNT($AB$3:$AB$10),0))</calculatedColumnFormula>
    </tableColumn>
    <tableColumn id="2" xr3:uid="{A30FB492-AC5B-4DBF-BF74-7F64B0A927B4}" name="GRY" dataDxfId="137">
      <calculatedColumnFormula>VLOOKUP($H3,$S$3:$AA$10,2,0)</calculatedColumnFormula>
    </tableColumn>
    <tableColumn id="3" xr3:uid="{E80C140F-1745-4849-95DA-4912C540CCDB}" name="WYGRANE" dataDxfId="136">
      <calculatedColumnFormula>VLOOKUP($H3,$S$3:$AA$10,3,0)</calculatedColumnFormula>
    </tableColumn>
    <tableColumn id="4" xr3:uid="{EAC2551E-606C-4ACF-BEDB-AD3ED6B25F07}" name="PRZEGRANE" dataDxfId="135">
      <calculatedColumnFormula>VLOOKUP($H3,$S$3:$AA$10,4,0)</calculatedColumnFormula>
    </tableColumn>
    <tableColumn id="5" xr3:uid="{0587A90D-89BE-42BB-B64E-791A269A7381}" name="ZDOBYTE" dataDxfId="134">
      <calculatedColumnFormula>VLOOKUP($H3,$S$3:$AA$10,5,0)</calculatedColumnFormula>
    </tableColumn>
    <tableColumn id="6" xr3:uid="{BBD764C7-AB6C-4FF0-B394-71CA488C766C}" name="STRACONE" dataDxfId="133">
      <calculatedColumnFormula>VLOOKUP($H3,$S$3:$AA$10,6,0)</calculatedColumnFormula>
    </tableColumn>
    <tableColumn id="7" xr3:uid="{C7F5BD62-31E4-47CD-AD51-25083A2EA77D}" name="RÓŻNICA" dataDxfId="132">
      <calculatedColumnFormula>VLOOKUP($H3,$S$3:$AA$10,7,0)</calculatedColumnFormula>
    </tableColumn>
    <tableColumn id="9" xr3:uid="{9904A717-F59C-42CA-80FD-CB7CB0B1D292}" name="STOSUNEK" dataDxfId="131" dataCellStyle="Normalny 2">
      <calculatedColumnFormula>IF(Tabela13456[[#This Row],[STRACONE]]=0,0,Tabela13456[[#This Row],[ZDOBYTE]]/Tabela13456[[#This Row],[STRACONE]])</calculatedColumnFormula>
    </tableColumn>
    <tableColumn id="8" xr3:uid="{FD2F69F0-57D6-4E7D-882B-C41A97EEE940}" name="PUNKTY" dataDxfId="130">
      <calculatedColumnFormula>VLOOKUP($H3,$S$3:$AB$10,9,0)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E587E7-C380-4A43-8F09-921AC0F6AD37}" name="Tabela1345" displayName="Tabela1345" ref="H2:P10" totalsRowShown="0" headerRowDxfId="129" headerRowBorderDxfId="127" tableBorderDxfId="128" totalsRowBorderDxfId="126">
  <tableColumns count="9">
    <tableColumn id="1" xr3:uid="{83C1D076-A294-4320-8C4C-27C7C8B556AF}" name="Zespół" dataDxfId="125">
      <calculatedColumnFormula array="1">INDEX($S$3:$S$10,MATCH(LARGE($AB$3:$AB$10-ROW($AB$3:$AB$10)/COUNT($AB$3:$AB$10),ROW(H3)-ROW(H$3)+1),$AB$3:$AB$10-ROW($AB$3:$AB$10)/COUNT($AB$3:$AB$10),0))</calculatedColumnFormula>
    </tableColumn>
    <tableColumn id="2" xr3:uid="{F88BB71C-D46F-43E9-9E01-F61F1019ABDB}" name="GRY" dataDxfId="124">
      <calculatedColumnFormula>VLOOKUP($H3,$S$3:$AA$10,2,0)</calculatedColumnFormula>
    </tableColumn>
    <tableColumn id="3" xr3:uid="{55A486E0-D8F7-4AA6-BE85-6A1173BAC8D4}" name="WYGRANE" dataDxfId="123">
      <calculatedColumnFormula>VLOOKUP($H3,$S$3:$AA$10,3,0)</calculatedColumnFormula>
    </tableColumn>
    <tableColumn id="4" xr3:uid="{FF61633F-958E-4BB9-BDEF-476578A4C366}" name="PRZEGRANE" dataDxfId="122">
      <calculatedColumnFormula>VLOOKUP($H3,$S$3:$AA$10,4,0)</calculatedColumnFormula>
    </tableColumn>
    <tableColumn id="5" xr3:uid="{067ED1F6-59CB-4CFF-AB67-758483F0FB52}" name="ZDOBYTE" dataDxfId="121">
      <calculatedColumnFormula>VLOOKUP($H3,$S$3:$AA$10,5,0)</calculatedColumnFormula>
    </tableColumn>
    <tableColumn id="6" xr3:uid="{5ED5E054-AA72-462F-BC23-F402986F36D3}" name="STRACONE" dataDxfId="120">
      <calculatedColumnFormula>VLOOKUP($H3,$S$3:$AA$10,6,0)</calculatedColumnFormula>
    </tableColumn>
    <tableColumn id="7" xr3:uid="{C4CC3D8D-E604-41B0-8017-0A54BE8855FB}" name="RÓŻNICA" dataDxfId="119">
      <calculatedColumnFormula>VLOOKUP($H3,$S$3:$AA$10,7,0)</calculatedColumnFormula>
    </tableColumn>
    <tableColumn id="9" xr3:uid="{90BED176-5261-4079-863A-6613AA55DCB7}" name="STOSUNEK" dataDxfId="118" dataCellStyle="Normalny 2">
      <calculatedColumnFormula>IF(Tabela1345[[#This Row],[STRACONE]]=0,0,Tabela1345[[#This Row],[ZDOBYTE]]/Tabela1345[[#This Row],[STRACONE]])</calculatedColumnFormula>
    </tableColumn>
    <tableColumn id="8" xr3:uid="{4BCCA332-BDFF-41EF-A98B-ED18C8238108}" name="PUNKTY" dataDxfId="117">
      <calculatedColumnFormula>VLOOKUP($H3,$S$3:$AB$10,9,0)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F350AE-D526-4BBB-BE39-1D3DFCC7ED9F}" name="Tabela134" displayName="Tabela134" ref="H2:P10" totalsRowShown="0" headerRowDxfId="116" headerRowBorderDxfId="114" tableBorderDxfId="115" totalsRowBorderDxfId="113">
  <tableColumns count="9">
    <tableColumn id="1" xr3:uid="{F3CB0AF5-5373-48C4-B126-66DCFD4A9720}" name="Zespół" dataDxfId="112">
      <calculatedColumnFormula array="1">INDEX($S$3:$S$10,MATCH(LARGE($AB$3:$AB$10-ROW($AB$3:$AB$10)/COUNT($AB$3:$AB$10),ROW(H3)-ROW(H$3)+1),$AB$3:$AB$10-ROW($AB$3:$AB$10)/COUNT($AB$3:$AB$10),0))</calculatedColumnFormula>
    </tableColumn>
    <tableColumn id="2" xr3:uid="{E9CA62B0-1B0F-4119-B63B-700CEA63E954}" name="GRY" dataDxfId="111">
      <calculatedColumnFormula>VLOOKUP($H3,$S$3:$AA$10,2,0)</calculatedColumnFormula>
    </tableColumn>
    <tableColumn id="3" xr3:uid="{E707ECDF-5C1F-435F-A258-1C8838A89316}" name="WYGRANE" dataDxfId="110">
      <calculatedColumnFormula>VLOOKUP($H3,$S$3:$AA$10,3,0)</calculatedColumnFormula>
    </tableColumn>
    <tableColumn id="4" xr3:uid="{7648A5B4-A2D2-46C6-8681-8D8C5811FA85}" name="PRZEGRANE" dataDxfId="109">
      <calculatedColumnFormula>VLOOKUP($H3,$S$3:$AA$10,4,0)</calculatedColumnFormula>
    </tableColumn>
    <tableColumn id="5" xr3:uid="{78735523-7871-4DA6-8A92-2A1CC7E28E90}" name="ZDOBYTE" dataDxfId="108">
      <calculatedColumnFormula>VLOOKUP($H3,$S$3:$AA$10,5,0)</calculatedColumnFormula>
    </tableColumn>
    <tableColumn id="6" xr3:uid="{4BC0843C-3418-475E-8B2A-924FB638CAA5}" name="STRACONE" dataDxfId="107">
      <calculatedColumnFormula>VLOOKUP($H3,$S$3:$AA$10,6,0)</calculatedColumnFormula>
    </tableColumn>
    <tableColumn id="7" xr3:uid="{CF38579A-203E-4DAF-B462-622013381952}" name="RÓŻNICA" dataDxfId="106">
      <calculatedColumnFormula>VLOOKUP($H3,$S$3:$AA$10,7,0)</calculatedColumnFormula>
    </tableColumn>
    <tableColumn id="9" xr3:uid="{8F4097C1-5D75-4CA8-9E5E-FD251BC775A4}" name="STOSUNEK" dataDxfId="105" dataCellStyle="Normalny 2">
      <calculatedColumnFormula>IF(Tabela134[[#This Row],[STRACONE]]=0,0,Tabela134[[#This Row],[ZDOBYTE]]/Tabela134[[#This Row],[STRACONE]])</calculatedColumnFormula>
    </tableColumn>
    <tableColumn id="8" xr3:uid="{BFD9526F-F66E-4B74-87B1-7DD8B4E56D79}" name="PUNKTY" dataDxfId="104">
      <calculatedColumnFormula>VLOOKUP($H3,$S$3:$AB$10,9,0)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0B08D98-B9DC-4083-8524-1336E3CBEE61}" name="Tabela18914" displayName="Tabela18914" ref="H2:P11" totalsRowShown="0" headerRowDxfId="103" headerRowBorderDxfId="101" tableBorderDxfId="102" totalsRowBorderDxfId="100">
  <tableColumns count="9">
    <tableColumn id="1" xr3:uid="{743BAFAB-74C6-44A1-8FF5-CABB906F3194}" name="Zespół" dataDxfId="99">
      <calculatedColumnFormula array="1">INDEX($S$3:$S$11,MATCH(LARGE($AB$3:$AB$11-ROW($AB$3:$AB$11)/COUNT($AB$3:$AB$11),ROW(H3)-ROW(H$3)+1),$AB$3:$AB$11-ROW($AB$3:$AB$11)/COUNT($AB$3:$AB$11),0))</calculatedColumnFormula>
    </tableColumn>
    <tableColumn id="2" xr3:uid="{7CE5A959-DF72-4DF4-81E5-48FB247BE715}" name="GRY" dataDxfId="98">
      <calculatedColumnFormula>VLOOKUP($H3,$S$3:$AA$11,2,0)</calculatedColumnFormula>
    </tableColumn>
    <tableColumn id="3" xr3:uid="{DAD46B08-5015-4520-ADB0-514402ABC5AB}" name="WYGRANE" dataDxfId="97">
      <calculatedColumnFormula>VLOOKUP($H3,$S$3:$AA$11,3,0)</calculatedColumnFormula>
    </tableColumn>
    <tableColumn id="4" xr3:uid="{61C7B944-B9A6-4998-A5E9-5BFBB16C3D36}" name="PRZEGRANE" dataDxfId="96">
      <calculatedColumnFormula>VLOOKUP($H3,$S$3:$AA$11,4,0)</calculatedColumnFormula>
    </tableColumn>
    <tableColumn id="5" xr3:uid="{7ED589F3-F598-4CB8-B9D2-BFB175E8807F}" name="ZDOBYTE" dataDxfId="95">
      <calculatedColumnFormula>VLOOKUP($H3,$S$3:$AA$11,5,0)</calculatedColumnFormula>
    </tableColumn>
    <tableColumn id="6" xr3:uid="{72B40180-715D-4D71-B126-172390FD294B}" name="STRACONE" dataDxfId="94">
      <calculatedColumnFormula>VLOOKUP($H3,$S$3:$AA$11,6,0)</calculatedColumnFormula>
    </tableColumn>
    <tableColumn id="7" xr3:uid="{0703A99D-7524-445F-8921-03A0D91FB40C}" name="RÓŻNICA" dataDxfId="93">
      <calculatedColumnFormula>VLOOKUP($H3,$S$3:$AA$11,7,0)</calculatedColumnFormula>
    </tableColumn>
    <tableColumn id="10" xr3:uid="{FC03CEAD-42BA-4367-BDF1-3F955BD7F6D8}" name="STOSUNEK" dataDxfId="92" dataCellStyle="Normalny 2">
      <calculatedColumnFormula>IF(Tabela18914[[#This Row],[STRACONE]]=0,0,Tabela18914[[#This Row],[ZDOBYTE]]/Tabela18914[[#This Row],[STRACONE]])</calculatedColumnFormula>
    </tableColumn>
    <tableColumn id="8" xr3:uid="{8A1E8B19-20DB-4957-8FDE-17D8A8B38521}" name="PUNKTY" dataDxfId="91">
      <calculatedColumnFormula>VLOOKUP($H3,$S$3:$AB$11,9,0)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73D8BCD-7A18-48C0-98BA-AAF5CDA97E9A}" name="Tabela1891415" displayName="Tabela1891415" ref="H2:P11" totalsRowShown="0" headerRowDxfId="90" headerRowBorderDxfId="88" tableBorderDxfId="89" totalsRowBorderDxfId="87">
  <tableColumns count="9">
    <tableColumn id="1" xr3:uid="{BA84E20F-5EC9-4CE5-A9DF-F8981458E188}" name="Zespół" dataDxfId="86">
      <calculatedColumnFormula array="1">INDEX($S$3:$S$11,MATCH(LARGE($AB$3:$AB$11-ROW($AB$3:$AB$11)/COUNT($AB$3:$AB$11),ROW(H3)-ROW(H$3)+1),$AB$3:$AB$11-ROW($AB$3:$AB$11)/COUNT($AB$3:$AB$11),0))</calculatedColumnFormula>
    </tableColumn>
    <tableColumn id="2" xr3:uid="{CE576361-1316-4C6A-B48F-258940DB789D}" name="GRY" dataDxfId="85">
      <calculatedColumnFormula>VLOOKUP($H3,$S$3:$AA$11,2,0)</calculatedColumnFormula>
    </tableColumn>
    <tableColumn id="3" xr3:uid="{284D2AB2-8220-4CE7-B5FF-A7731C8C00AA}" name="WYGRANE" dataDxfId="84">
      <calculatedColumnFormula>VLOOKUP($H3,$S$3:$AA$11,3,0)</calculatedColumnFormula>
    </tableColumn>
    <tableColumn id="4" xr3:uid="{7F36D971-B1FA-4C82-B80F-661D2CD928DC}" name="PRZEGRANE" dataDxfId="83">
      <calculatedColumnFormula>VLOOKUP($H3,$S$3:$AA$11,4,0)</calculatedColumnFormula>
    </tableColumn>
    <tableColumn id="5" xr3:uid="{B1CE004A-EB99-4092-A332-A08A9569CD62}" name="ZDOBYTE" dataDxfId="82">
      <calculatedColumnFormula>VLOOKUP($H3,$S$3:$AA$11,5,0)</calculatedColumnFormula>
    </tableColumn>
    <tableColumn id="6" xr3:uid="{047A6C3F-305A-400A-A387-2561AF77476C}" name="STRACONE" dataDxfId="81">
      <calculatedColumnFormula>VLOOKUP($H3,$S$3:$AA$11,6,0)</calculatedColumnFormula>
    </tableColumn>
    <tableColumn id="7" xr3:uid="{2FAB0CEF-C17C-4FCE-ACA3-E0A9331DDD17}" name="RÓŻNICA" dataDxfId="80">
      <calculatedColumnFormula>VLOOKUP($H3,$S$3:$AA$11,7,0)</calculatedColumnFormula>
    </tableColumn>
    <tableColumn id="10" xr3:uid="{0BE5677E-389E-4B94-B4C9-81D6B2453B62}" name="STOSUNEK" dataDxfId="79" dataCellStyle="Normalny 2">
      <calculatedColumnFormula>IF(Tabela1891415[[#This Row],[STRACONE]]=0,0,Tabela1891415[[#This Row],[ZDOBYTE]]/Tabela1891415[[#This Row],[STRACONE]])</calculatedColumnFormula>
    </tableColumn>
    <tableColumn id="8" xr3:uid="{138E027B-193A-45C7-9032-62A097E7F3F3}" name="PUNKTY" dataDxfId="78">
      <calculatedColumnFormula>VLOOKUP($H3,$S$3:$AB$11,9,0)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4452656-6B4A-434A-8A9F-F5AD8B23B2A9}" name="Tabela189141517" displayName="Tabela189141517" ref="H2:P11" totalsRowShown="0" headerRowDxfId="77" headerRowBorderDxfId="75" tableBorderDxfId="76" totalsRowBorderDxfId="74">
  <tableColumns count="9">
    <tableColumn id="1" xr3:uid="{CE05D46E-CF33-4FA0-8687-E528B9D042FC}" name="Zespół" dataDxfId="73">
      <calculatedColumnFormula array="1">INDEX($S$3:$S$11,MATCH(LARGE($AB$3:$AB$11-ROW($AB$3:$AB$11)/COUNT($AB$3:$AB$11),ROW(H3)-ROW(H$3)+1),$AB$3:$AB$11-ROW($AB$3:$AB$11)/COUNT($AB$3:$AB$11),0))</calculatedColumnFormula>
    </tableColumn>
    <tableColumn id="2" xr3:uid="{C91BE09B-7FFC-4EA9-A57C-BB0CE362D16A}" name="GRY" dataDxfId="72">
      <calculatedColumnFormula>VLOOKUP($H3,$S$3:$AA$11,2,0)</calculatedColumnFormula>
    </tableColumn>
    <tableColumn id="3" xr3:uid="{EECB626B-30F3-4A60-89D7-0AE0F9FF938C}" name="WYGRANE" dataDxfId="71">
      <calculatedColumnFormula>VLOOKUP($H3,$S$3:$AA$11,3,0)</calculatedColumnFormula>
    </tableColumn>
    <tableColumn id="4" xr3:uid="{F9CCCC44-6400-406C-B916-80FE2ECA7FD3}" name="PRZEGRANE" dataDxfId="70">
      <calculatedColumnFormula>VLOOKUP($H3,$S$3:$AA$11,4,0)</calculatedColumnFormula>
    </tableColumn>
    <tableColumn id="5" xr3:uid="{D2494604-9BCA-470E-89D4-71D662F978EA}" name="ZDOBYTE" dataDxfId="69">
      <calculatedColumnFormula>VLOOKUP($H3,$S$3:$AA$11,5,0)</calculatedColumnFormula>
    </tableColumn>
    <tableColumn id="6" xr3:uid="{856B05C1-00C7-4E82-B70F-6749858A8B56}" name="STRACONE" dataDxfId="68">
      <calculatedColumnFormula>VLOOKUP($H3,$S$3:$AA$11,6,0)</calculatedColumnFormula>
    </tableColumn>
    <tableColumn id="7" xr3:uid="{3F313C28-2D6D-45BB-887E-AF83071DBEFA}" name="RÓŻNICA" dataDxfId="67">
      <calculatedColumnFormula>VLOOKUP($H3,$S$3:$AA$11,7,0)</calculatedColumnFormula>
    </tableColumn>
    <tableColumn id="10" xr3:uid="{36EAA82B-B492-4973-B767-6988EFFB4978}" name="STOSUNEK" dataDxfId="66" dataCellStyle="Normalny 2">
      <calculatedColumnFormula>IF(Tabela189141517[[#This Row],[STRACONE]]=0,0,Tabela189141517[[#This Row],[ZDOBYTE]]/Tabela189141517[[#This Row],[STRACONE]])</calculatedColumnFormula>
    </tableColumn>
    <tableColumn id="8" xr3:uid="{02156AA0-C76A-4001-AE03-5467702ADC00}" name="PUNKTY" dataDxfId="65">
      <calculatedColumnFormula>VLOOKUP($H3,$S$3:$AB$11,9,0)</calculatedColumn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D1FB27A-B5CA-46B3-85D8-1FCDB3B9C95D}" name="Tabela18" displayName="Tabela18" ref="H2:P11" totalsRowShown="0" headerRowDxfId="64" headerRowBorderDxfId="62" tableBorderDxfId="63" totalsRowBorderDxfId="61">
  <tableColumns count="9">
    <tableColumn id="1" xr3:uid="{DCE27FAF-563E-4C3A-94FC-4BEF4DFCC89B}" name="Zespół" dataDxfId="60">
      <calculatedColumnFormula array="1">INDEX($S$3:$S$11,MATCH(LARGE($AB$3:$AB$11-ROW($AB$3:$AB$11)/COUNT($AB$3:$AB$11),ROW(H3)-ROW(H$3)+1),$AB$3:$AB$11-ROW($AB$3:$AB$11)/COUNT($AB$3:$AB$11),0))</calculatedColumnFormula>
    </tableColumn>
    <tableColumn id="2" xr3:uid="{1A4CFD01-A680-4509-8214-6B1334738FB0}" name="GRY" dataDxfId="59">
      <calculatedColumnFormula>VLOOKUP($H3,$S$3:$AA$11,2,0)</calculatedColumnFormula>
    </tableColumn>
    <tableColumn id="3" xr3:uid="{FEF6928F-BFC1-44D0-807F-2A25EA5E564B}" name="WYGRANE" dataDxfId="58">
      <calculatedColumnFormula>VLOOKUP($H3,$S$3:$AA$11,3,0)</calculatedColumnFormula>
    </tableColumn>
    <tableColumn id="4" xr3:uid="{BC243E9D-B5B7-4AC8-8DA9-8080D2F394D5}" name="PRZEGRANE" dataDxfId="57">
      <calculatedColumnFormula>VLOOKUP($H3,$S$3:$AA$11,4,0)</calculatedColumnFormula>
    </tableColumn>
    <tableColumn id="5" xr3:uid="{DC4AB9A5-28DB-4F29-917E-84FFCE2080DF}" name="ZDOBYTE" dataDxfId="56">
      <calculatedColumnFormula>VLOOKUP($H3,$S$3:$AA$11,5,0)</calculatedColumnFormula>
    </tableColumn>
    <tableColumn id="6" xr3:uid="{848AC7EB-B6F1-43DE-9B5D-A983DFA0493F}" name="STRACONE" dataDxfId="55">
      <calculatedColumnFormula>VLOOKUP($H3,$S$3:$AA$11,6,0)</calculatedColumnFormula>
    </tableColumn>
    <tableColumn id="7" xr3:uid="{3DF9AF09-1337-413A-863A-83859977437C}" name="RÓŻNICA" dataDxfId="54">
      <calculatedColumnFormula>VLOOKUP($H3,$S$3:$AA$11,7,0)</calculatedColumnFormula>
    </tableColumn>
    <tableColumn id="10" xr3:uid="{707988C4-9CA8-4254-9F14-F3A696251245}" name="STOSUNEK" dataDxfId="53" dataCellStyle="Normalny 2">
      <calculatedColumnFormula>IF(Tabela18[[#This Row],[STRACONE]]=0,0,Tabela18[[#This Row],[ZDOBYTE]]/Tabela18[[#This Row],[STRACONE]])</calculatedColumnFormula>
    </tableColumn>
    <tableColumn id="8" xr3:uid="{5ED7A060-840B-4F2D-90C9-76827BF93981}" name="PUNKTY" dataDxfId="52">
      <calculatedColumnFormula>VLOOKUP($H3,$S$3:$AB$11,9,0)</calculatedColumnFormula>
    </tableColumn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DA6481F-B0B8-46C2-A709-8E93D76E84CC}" name="Tabela110" displayName="Tabela110" ref="H2:P12" totalsRowShown="0" headerRowDxfId="51" headerRowBorderDxfId="49" tableBorderDxfId="50" totalsRowBorderDxfId="48">
  <tableColumns count="9">
    <tableColumn id="1" xr3:uid="{F0DED1F4-FDDD-49D2-8EA1-9F4F74C6F68C}" name="Zespół" dataDxfId="47" dataCellStyle="Normalny 2"/>
    <tableColumn id="2" xr3:uid="{F3760604-4C2D-43FE-98E7-971BE89C6151}" name="GRY" dataDxfId="46">
      <calculatedColumnFormula>VLOOKUP($H3,$S$3:$AA$12,2,0)</calculatedColumnFormula>
    </tableColumn>
    <tableColumn id="3" xr3:uid="{3A95C089-E50D-4641-912A-8B089A876285}" name="WYGRANE" dataDxfId="45">
      <calculatedColumnFormula>VLOOKUP($H3,$S$3:$AA$12,3,0)</calculatedColumnFormula>
    </tableColumn>
    <tableColumn id="4" xr3:uid="{9BFF672D-BA2D-4F9D-88C3-072E1911F5F7}" name="PRZEGRANE" dataDxfId="44">
      <calculatedColumnFormula>VLOOKUP($H3,$S$3:$AA$12,4,0)</calculatedColumnFormula>
    </tableColumn>
    <tableColumn id="5" xr3:uid="{6B4417CE-2DFE-4767-B90C-559DB51E04F4}" name="ZDOBYTE" dataDxfId="43">
      <calculatedColumnFormula>VLOOKUP($H3,$S$3:$AA$12,5,0)</calculatedColumnFormula>
    </tableColumn>
    <tableColumn id="6" xr3:uid="{FFBB762B-2C3C-4C27-B88F-D8B88FF3EE50}" name="STRACONE" dataDxfId="42">
      <calculatedColumnFormula>VLOOKUP($H3,$S$3:$AA$12,6,0)</calculatedColumnFormula>
    </tableColumn>
    <tableColumn id="7" xr3:uid="{C996216A-2ABA-439C-BB4D-459CFCFF973C}" name="RÓŻNICA" dataDxfId="41">
      <calculatedColumnFormula>VLOOKUP($H3,$S$3:$AA$12,7,0)</calculatedColumnFormula>
    </tableColumn>
    <tableColumn id="10" xr3:uid="{A872C986-389E-4208-9215-376A477B497C}" name="STOSUNEK" dataDxfId="40" dataCellStyle="Normalny 2">
      <calculatedColumnFormula>IF(Tabela110[[#This Row],[STRACONE]]=0,0,Tabela110[[#This Row],[ZDOBYTE]]/Tabela110[[#This Row],[STRACONE]])</calculatedColumnFormula>
    </tableColumn>
    <tableColumn id="8" xr3:uid="{B975D1F2-C0E1-4E9E-BB0E-8BB9D4E809AF}" name="PUNKTY" dataDxfId="39">
      <calculatedColumnFormula>VLOOKUP($H3,$S$3:$AB$12,9,0)</calculatedColumnFormula>
    </tableColumn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84B0C96-FAFC-49B4-841F-12DC1FEED199}" name="Tabela11011" displayName="Tabela11011" ref="H2:P12" totalsRowShown="0" headerRowDxfId="38" headerRowBorderDxfId="36" tableBorderDxfId="37" totalsRowBorderDxfId="35">
  <tableColumns count="9">
    <tableColumn id="1" xr3:uid="{DD19AC63-D085-4638-8A13-3FF1F0AEA111}" name="Zespół" dataDxfId="34" dataCellStyle="Normalny 2"/>
    <tableColumn id="2" xr3:uid="{751B0FC1-C9DF-4148-8BC2-DD2ED6585BB5}" name="GRY" dataDxfId="33">
      <calculatedColumnFormula>VLOOKUP($H3,$S$3:$AA$12,2,0)</calculatedColumnFormula>
    </tableColumn>
    <tableColumn id="3" xr3:uid="{C7F2CC58-7DE6-416C-BFC8-75CC798B77D7}" name="WYGRANE" dataDxfId="32">
      <calculatedColumnFormula>VLOOKUP($H3,$S$3:$AA$12,3,0)</calculatedColumnFormula>
    </tableColumn>
    <tableColumn id="4" xr3:uid="{54156F6D-9BAA-4E22-8E8E-975C5680CD4E}" name="PRZEGRANE" dataDxfId="31">
      <calculatedColumnFormula>VLOOKUP($H3,$S$3:$AA$12,4,0)</calculatedColumnFormula>
    </tableColumn>
    <tableColumn id="5" xr3:uid="{F781FE1D-276E-43ED-877F-213FA2FBE2CD}" name="ZDOBYTE" dataDxfId="30">
      <calculatedColumnFormula>VLOOKUP($H3,$S$3:$AA$12,5,0)</calculatedColumnFormula>
    </tableColumn>
    <tableColumn id="6" xr3:uid="{3271E788-4FF9-4181-B1C9-353CB840CAAC}" name="STRACONE" dataDxfId="29">
      <calculatedColumnFormula>VLOOKUP($H3,$S$3:$AA$12,6,0)</calculatedColumnFormula>
    </tableColumn>
    <tableColumn id="7" xr3:uid="{609FBD2A-C712-4392-9676-37AF01DB7EB0}" name="RÓŻNICA" dataDxfId="28">
      <calculatedColumnFormula>VLOOKUP($H3,$S$3:$AA$12,7,0)</calculatedColumnFormula>
    </tableColumn>
    <tableColumn id="10" xr3:uid="{6C36D323-0AF1-4554-B8C8-5BCEC58576AB}" name="STOSUNEK" dataDxfId="27" dataCellStyle="Normalny 2">
      <calculatedColumnFormula>IF(Tabela11011[[#This Row],[STRACONE]]=0,0,Tabela11011[[#This Row],[ZDOBYTE]]/Tabela11011[[#This Row],[STRACONE]])</calculatedColumnFormula>
    </tableColumn>
    <tableColumn id="8" xr3:uid="{BEA8BD2B-C084-49C7-B7F5-F7317EB5EFF1}" name="PUNKTY" dataDxfId="26">
      <calculatedColumnFormula>VLOOKUP($H3,$S$3:$AB$12,9,0)</calculatedColumnFormula>
    </tableColumn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49B9889-3092-4CCD-BA06-7C7794DE049B}" name="Tabela1101112" displayName="Tabela1101112" ref="H2:P12" totalsRowShown="0" headerRowDxfId="25" headerRowBorderDxfId="23" tableBorderDxfId="24" totalsRowBorderDxfId="22">
  <tableColumns count="9">
    <tableColumn id="1" xr3:uid="{6D7D8AC1-ADBF-45E0-A89C-6D16775B792F}" name="Zespół" dataDxfId="21" dataCellStyle="Normalny 2"/>
    <tableColumn id="2" xr3:uid="{9165D219-81CD-41DE-A2BB-0EB849D45D1E}" name="GRY" dataDxfId="20">
      <calculatedColumnFormula>VLOOKUP($H3,$S$3:$AA$12,2,0)</calculatedColumnFormula>
    </tableColumn>
    <tableColumn id="3" xr3:uid="{BCF7EE39-ECDE-4BA1-8F46-A68D744A292E}" name="WYGRANE" dataDxfId="19">
      <calculatedColumnFormula>VLOOKUP($H3,$S$3:$AA$12,3,0)</calculatedColumnFormula>
    </tableColumn>
    <tableColumn id="4" xr3:uid="{35B70D27-B486-4A08-82B7-64F445727E24}" name="PRZEGRANE" dataDxfId="18">
      <calculatedColumnFormula>VLOOKUP($H3,$S$3:$AA$12,4,0)</calculatedColumnFormula>
    </tableColumn>
    <tableColumn id="5" xr3:uid="{0911345E-40F9-45CA-8CAA-2D64D04897DB}" name="ZDOBYTE" dataDxfId="17">
      <calculatedColumnFormula>VLOOKUP($H3,$S$3:$AA$12,5,0)</calculatedColumnFormula>
    </tableColumn>
    <tableColumn id="6" xr3:uid="{AAD42312-A883-4392-A4DA-7088D1A49767}" name="STRACONE" dataDxfId="16">
      <calculatedColumnFormula>VLOOKUP($H3,$S$3:$AA$12,6,0)</calculatedColumnFormula>
    </tableColumn>
    <tableColumn id="7" xr3:uid="{D1E66E57-1B5B-4A5D-B112-A56F5EE98922}" name="RÓŻNICA" dataDxfId="15">
      <calculatedColumnFormula>VLOOKUP($H3,$S$3:$AA$12,7,0)</calculatedColumnFormula>
    </tableColumn>
    <tableColumn id="10" xr3:uid="{3D8FACB9-2392-40D6-9D43-0CA8AD57E911}" name="STOSUNEK" dataDxfId="14" dataCellStyle="Normalny 2">
      <calculatedColumnFormula>IF(Tabela1101112[[#This Row],[STRACONE]]=0,0,Tabela1101112[[#This Row],[ZDOBYTE]]/Tabela1101112[[#This Row],[STRACONE]])</calculatedColumnFormula>
    </tableColumn>
    <tableColumn id="8" xr3:uid="{6747A3E4-C2C7-48E4-9026-6119223DF036}" name="PUNKTY" dataDxfId="13">
      <calculatedColumnFormula>VLOOKUP($H3,$S$3:$AB$12,9,0)</calculatedColumnFormula>
    </tableColumn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F243101-835E-4AC4-BBDB-96BC709CBBC5}" name="Tabela110111213" displayName="Tabela110111213" ref="H2:P12" totalsRowShown="0" headerRowDxfId="12" headerRowBorderDxfId="10" tableBorderDxfId="11" totalsRowBorderDxfId="9">
  <tableColumns count="9">
    <tableColumn id="1" xr3:uid="{D950FAD8-CB17-41FF-90E5-8817D850493F}" name="Zespół" dataDxfId="8" dataCellStyle="Normalny 2"/>
    <tableColumn id="2" xr3:uid="{493A1F8C-03AC-4EC1-80CD-FC6E895C8B1E}" name="GRY" dataDxfId="7">
      <calculatedColumnFormula>VLOOKUP($H3,$S$3:$AA$12,2,0)</calculatedColumnFormula>
    </tableColumn>
    <tableColumn id="3" xr3:uid="{4442461D-1D24-446F-97FA-B769EB2ACC04}" name="WYGRANE" dataDxfId="6">
      <calculatedColumnFormula>VLOOKUP($H3,$S$3:$AA$12,3,0)</calculatedColumnFormula>
    </tableColumn>
    <tableColumn id="4" xr3:uid="{120320CF-DA75-4B9C-9DF9-2D7BF51E7031}" name="PRZEGRANE" dataDxfId="5">
      <calculatedColumnFormula>VLOOKUP($H3,$S$3:$AA$12,4,0)</calculatedColumnFormula>
    </tableColumn>
    <tableColumn id="5" xr3:uid="{29390B1F-3A09-488B-9455-AAA46E2906C7}" name="ZDOBYTE" dataDxfId="4">
      <calculatedColumnFormula>VLOOKUP($H3,$S$3:$AA$12,5,0)</calculatedColumnFormula>
    </tableColumn>
    <tableColumn id="6" xr3:uid="{A5C1E2D7-03F3-43AC-B223-671A2F46DA38}" name="STRACONE" dataDxfId="3">
      <calculatedColumnFormula>VLOOKUP($H3,$S$3:$AA$12,6,0)</calculatedColumnFormula>
    </tableColumn>
    <tableColumn id="7" xr3:uid="{5068E821-7531-4B14-971D-17ADAFB1E6BE}" name="RÓŻNICA" dataDxfId="2">
      <calculatedColumnFormula>VLOOKUP($H3,$S$3:$AA$12,7,0)</calculatedColumnFormula>
    </tableColumn>
    <tableColumn id="10" xr3:uid="{5F8F5C68-1735-47C8-AD9C-DDC59A61B793}" name="STOSUNEK" dataDxfId="1" dataCellStyle="Normalny 2">
      <calculatedColumnFormula>IF(Tabela110111213[[#This Row],[STRACONE]]=0,0,Tabela110111213[[#This Row],[ZDOBYTE]]/Tabela110111213[[#This Row],[STRACONE]])</calculatedColumnFormula>
    </tableColumn>
    <tableColumn id="8" xr3:uid="{8ADE3606-A2B7-4DA2-9B5D-625D10FE5DE1}" name="PUNKTY" dataDxfId="0">
      <calculatedColumnFormula>VLOOKUP($H3,$S$3:$AB$12,9,0)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215D-A917-4951-8806-60929BDF106A}">
  <dimension ref="A1:AC42"/>
  <sheetViews>
    <sheetView workbookViewId="0">
      <selection activeCell="G43" sqref="G43"/>
    </sheetView>
  </sheetViews>
  <sheetFormatPr defaultColWidth="8.85546875" defaultRowHeight="15"/>
  <cols>
    <col min="1" max="2" width="20.7109375" style="2" bestFit="1" customWidth="1"/>
    <col min="3" max="5" width="3.85546875" style="2" customWidth="1"/>
    <col min="6" max="6" width="8.28515625" style="2" customWidth="1"/>
    <col min="7" max="7" width="8.28515625" style="3" customWidth="1"/>
    <col min="8" max="8" width="20.7109375" style="3" bestFit="1" customWidth="1"/>
    <col min="9" max="9" width="11.7109375" style="3" customWidth="1"/>
    <col min="10" max="16" width="11.7109375" style="2" customWidth="1"/>
    <col min="17" max="17" width="11.42578125" style="2" customWidth="1"/>
    <col min="18" max="18" width="8.85546875" style="2" hidden="1" customWidth="1"/>
    <col min="19" max="26" width="9.140625" style="2" hidden="1" customWidth="1"/>
    <col min="27" max="27" width="4.140625" style="2" hidden="1" customWidth="1"/>
    <col min="28" max="28" width="9.140625" style="2" hidden="1" customWidth="1"/>
    <col min="29" max="29" width="8.85546875" style="2" hidden="1" customWidth="1"/>
    <col min="30" max="16384" width="8.85546875" style="2"/>
  </cols>
  <sheetData>
    <row r="1" spans="1:28" ht="28.5">
      <c r="A1" s="1" t="s">
        <v>0</v>
      </c>
      <c r="S1" s="80" t="s">
        <v>1</v>
      </c>
      <c r="T1" s="2" t="b">
        <f>ROWS(homescore)-COUNT(homescore)=0</f>
        <v>1</v>
      </c>
      <c r="U1" s="80" t="s">
        <v>2</v>
      </c>
      <c r="V1" s="2">
        <f>ROWS(homescore)-COUNTA(homescore)</f>
        <v>0</v>
      </c>
    </row>
    <row r="2" spans="1:28">
      <c r="H2" s="4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6" t="s">
        <v>10</v>
      </c>
      <c r="P2" s="6" t="s">
        <v>11</v>
      </c>
      <c r="T2" s="7" t="s">
        <v>4</v>
      </c>
      <c r="U2" s="8" t="s">
        <v>12</v>
      </c>
      <c r="V2" s="8" t="s">
        <v>13</v>
      </c>
      <c r="W2" s="9" t="s">
        <v>14</v>
      </c>
      <c r="X2" s="4" t="s">
        <v>15</v>
      </c>
      <c r="Y2" s="8" t="s">
        <v>16</v>
      </c>
      <c r="Z2" s="28" t="s">
        <v>17</v>
      </c>
      <c r="AA2" s="9" t="s">
        <v>13</v>
      </c>
      <c r="AB2" s="9" t="s">
        <v>18</v>
      </c>
    </row>
    <row r="3" spans="1:28">
      <c r="A3" s="10" t="s">
        <v>3</v>
      </c>
      <c r="B3" s="11"/>
      <c r="H3" s="12" t="str" cm="1">
        <f t="array" ref="H3">INDEX($S$3:$S$10,MATCH(LARGE($AB$3:$AB$10-ROW($AB$3:$AB$10)/COUNT($AB$3:$AB$10),ROW(H3)-ROW(H$3)+1),$AB$3:$AB$10-ROW($AB$3:$AB$10)/COUNT($AB$3:$AB$10),0))</f>
        <v>SASKA WARSZAWA 2</v>
      </c>
      <c r="I3" s="13">
        <f t="shared" ref="I3:I10" si="0">VLOOKUP($H3,$S$3:$AA$10,2,0)</f>
        <v>7</v>
      </c>
      <c r="J3" s="13">
        <f t="shared" ref="J3:J10" si="1">VLOOKUP($H3,$S$3:$AA$10,3,0)</f>
        <v>7</v>
      </c>
      <c r="K3" s="13">
        <f t="shared" ref="K3:K10" si="2">VLOOKUP($H3,$S$3:$AA$10,4,0)</f>
        <v>0</v>
      </c>
      <c r="L3" s="13">
        <f t="shared" ref="L3:L10" si="3">VLOOKUP($H3,$S$3:$AA$10,5,0)</f>
        <v>77</v>
      </c>
      <c r="M3" s="13">
        <f t="shared" ref="M3:M10" si="4">VLOOKUP($H3,$S$3:$AA$10,6,0)</f>
        <v>43</v>
      </c>
      <c r="N3" s="13">
        <f t="shared" ref="N3:N10" si="5">VLOOKUP($H3,$S$3:$AA$10,7,0)</f>
        <v>34</v>
      </c>
      <c r="O3" s="27">
        <f>IF(Tabela134567[[#This Row],[STRACONE]]=0,0,Tabela134567[[#This Row],[ZDOBYTE]]/Tabela134567[[#This Row],[STRACONE]])</f>
        <v>1.7906976744186047</v>
      </c>
      <c r="P3" s="14">
        <f t="shared" ref="P3:P10" si="6">VLOOKUP($H3,$S$3:$AB$10,9,0)</f>
        <v>14</v>
      </c>
      <c r="S3" s="15" t="str">
        <f t="shared" ref="S3:S10" si="7">A4</f>
        <v>UKS LESZNOWOLA 7</v>
      </c>
      <c r="T3" s="16" cm="1">
        <f t="array" ref="T3">SUM((home=S3)*(ISNUMBER(homescore)),(visitor=S3)*(ISNUMBER(visitorscore)))</f>
        <v>7</v>
      </c>
      <c r="U3" s="3">
        <f t="array" ref="U3">SUM((home=S3)*(homescore&gt;visitorscore),(visitor=S3)*(visitorscore&gt;homescore))</f>
        <v>3</v>
      </c>
      <c r="V3" s="3">
        <f t="array" ref="V3">SUM((home=S3)*(homescore&lt;visitorscore),(visitor=S3)*(visitorscore&lt;homescore))</f>
        <v>4</v>
      </c>
      <c r="W3" s="17">
        <f t="shared" ref="W3" si="8">SUMIF(home,S3,homescore)+SUMIF(visitor,S3,visitorscore)</f>
        <v>67</v>
      </c>
      <c r="X3" s="18">
        <f t="shared" ref="X3" si="9">SUMIF(home,S3,visitorscore)+SUMIF(visitor,S3,homescore)</f>
        <v>62</v>
      </c>
      <c r="Y3" s="3">
        <f>W3-X3</f>
        <v>5</v>
      </c>
      <c r="Z3" s="29">
        <f>IF(X3&gt;0,W3/X3,0)</f>
        <v>1.0806451612903225</v>
      </c>
      <c r="AA3" s="17">
        <f>2*U3</f>
        <v>6</v>
      </c>
      <c r="AB3" s="19">
        <f>W3+Z3*1000+Y3*10000+AA3*100000000</f>
        <v>600051147.64516127</v>
      </c>
    </row>
    <row r="4" spans="1:28">
      <c r="A4" s="20" t="s">
        <v>19</v>
      </c>
      <c r="H4" s="12" t="str" cm="1">
        <f t="array" ref="H4">INDEX($S$3:$S$10,MATCH(LARGE($AB$3:$AB$10-ROW($AB$3:$AB$10)/COUNT($AB$3:$AB$10),ROW(H4)-ROW(H$3)+1),$AB$3:$AB$10-ROW($AB$3:$AB$10)/COUNT($AB$3:$AB$10),0))</f>
        <v>METRO WARSZAWA 4</v>
      </c>
      <c r="I4" s="13">
        <f t="shared" si="0"/>
        <v>7</v>
      </c>
      <c r="J4" s="13">
        <f t="shared" si="1"/>
        <v>5</v>
      </c>
      <c r="K4" s="13">
        <f t="shared" si="2"/>
        <v>2</v>
      </c>
      <c r="L4" s="13">
        <f t="shared" si="3"/>
        <v>66</v>
      </c>
      <c r="M4" s="13">
        <f t="shared" si="4"/>
        <v>58</v>
      </c>
      <c r="N4" s="13">
        <f t="shared" si="5"/>
        <v>8</v>
      </c>
      <c r="O4" s="27">
        <f>IF(Tabela134567[[#This Row],[STRACONE]]=0,0,Tabela134567[[#This Row],[ZDOBYTE]]/Tabela134567[[#This Row],[STRACONE]])</f>
        <v>1.1379310344827587</v>
      </c>
      <c r="P4" s="14">
        <f t="shared" si="6"/>
        <v>10</v>
      </c>
      <c r="S4" s="21" t="str">
        <f t="shared" si="7"/>
        <v>METRO WARSZAWA 4</v>
      </c>
      <c r="T4" s="16" cm="1">
        <f t="array" ref="T4">SUM((home=S4)*(ISNUMBER(homescore)),(visitor=S4)*(ISNUMBER(visitorscore)))</f>
        <v>7</v>
      </c>
      <c r="U4" s="3">
        <f t="array" ref="U4">SUM((home=S4)*(homescore&gt;visitorscore),(visitor=S4)*(visitorscore&gt;homescore))</f>
        <v>5</v>
      </c>
      <c r="V4" s="3">
        <f t="array" ref="V4">SUM((home=S4)*(homescore&lt;visitorscore),(visitor=S4)*(visitorscore&lt;homescore))</f>
        <v>2</v>
      </c>
      <c r="W4" s="17">
        <f t="shared" ref="W4" si="10">SUMIF(home,S4,homescore)+SUMIF(visitor,S4,visitorscore)</f>
        <v>66</v>
      </c>
      <c r="X4" s="18">
        <f t="shared" ref="X4" si="11">SUMIF(home,S4,visitorscore)+SUMIF(visitor,S4,homescore)</f>
        <v>58</v>
      </c>
      <c r="Y4" s="3">
        <f t="shared" ref="Y4:Y10" si="12">W4-X4</f>
        <v>8</v>
      </c>
      <c r="Z4" s="29">
        <f t="shared" ref="Z4:Z10" si="13">IF(X4&gt;0,W4/X4,0)</f>
        <v>1.1379310344827587</v>
      </c>
      <c r="AA4" s="17">
        <f t="shared" ref="AA4:AA10" si="14">2*U4</f>
        <v>10</v>
      </c>
      <c r="AB4" s="19">
        <f t="shared" ref="AB4:AB10" si="15">W4+Z4*1000+Y4*10000+AA4*100000000</f>
        <v>1000081203.9310344</v>
      </c>
    </row>
    <row r="5" spans="1:28">
      <c r="A5" s="20" t="s">
        <v>20</v>
      </c>
      <c r="H5" s="12" t="str" cm="1">
        <f t="array" ref="H5">INDEX($S$3:$S$10,MATCH(LARGE($AB$3:$AB$10-ROW($AB$3:$AB$10)/COUNT($AB$3:$AB$10),ROW(H5)-ROW(H$3)+1),$AB$3:$AB$10-ROW($AB$3:$AB$10)/COUNT($AB$3:$AB$10),0))</f>
        <v>PERLA ZLOTOKLOS 3</v>
      </c>
      <c r="I5" s="13">
        <f t="shared" si="0"/>
        <v>7</v>
      </c>
      <c r="J5" s="13">
        <f t="shared" si="1"/>
        <v>4</v>
      </c>
      <c r="K5" s="13">
        <f t="shared" si="2"/>
        <v>3</v>
      </c>
      <c r="L5" s="13">
        <f t="shared" si="3"/>
        <v>63</v>
      </c>
      <c r="M5" s="13">
        <f t="shared" si="4"/>
        <v>62</v>
      </c>
      <c r="N5" s="13">
        <f t="shared" si="5"/>
        <v>1</v>
      </c>
      <c r="O5" s="27">
        <f>IF(Tabela134567[[#This Row],[STRACONE]]=0,0,Tabela134567[[#This Row],[ZDOBYTE]]/Tabela134567[[#This Row],[STRACONE]])</f>
        <v>1.0161290322580645</v>
      </c>
      <c r="P5" s="14">
        <f t="shared" si="6"/>
        <v>8</v>
      </c>
      <c r="S5" s="21" t="str">
        <f t="shared" si="7"/>
        <v>ISKRA WARSZAWA 3</v>
      </c>
      <c r="T5" s="16" cm="1">
        <f t="array" ref="T5">SUM((home=S5)*(ISNUMBER(homescore)),(visitor=S5)*(ISNUMBER(visitorscore)))</f>
        <v>7</v>
      </c>
      <c r="U5" s="3">
        <f t="array" ref="U5">SUM((home=S5)*(homescore&gt;visitorscore),(visitor=S5)*(visitorscore&gt;homescore))</f>
        <v>2</v>
      </c>
      <c r="V5" s="3">
        <f t="array" ref="V5">SUM((home=S5)*(homescore&lt;visitorscore),(visitor=S5)*(visitorscore&lt;homescore))</f>
        <v>5</v>
      </c>
      <c r="W5" s="17">
        <f t="shared" ref="W5" si="16">SUMIF(home,S5,homescore)+SUMIF(visitor,S5,visitorscore)</f>
        <v>51</v>
      </c>
      <c r="X5" s="18">
        <f t="shared" ref="X5" si="17">SUMIF(home,S5,visitorscore)+SUMIF(visitor,S5,homescore)</f>
        <v>69</v>
      </c>
      <c r="Y5" s="3">
        <f t="shared" si="12"/>
        <v>-18</v>
      </c>
      <c r="Z5" s="29">
        <f t="shared" si="13"/>
        <v>0.73913043478260865</v>
      </c>
      <c r="AA5" s="17">
        <f t="shared" si="14"/>
        <v>4</v>
      </c>
      <c r="AB5" s="19">
        <f t="shared" si="15"/>
        <v>399820790.13043481</v>
      </c>
    </row>
    <row r="6" spans="1:28">
      <c r="A6" s="20" t="s">
        <v>21</v>
      </c>
      <c r="H6" s="12" t="str" cm="1">
        <f t="array" ref="H6">INDEX($S$3:$S$10,MATCH(LARGE($AB$3:$AB$10-ROW($AB$3:$AB$10)/COUNT($AB$3:$AB$10),ROW(H6)-ROW(H$3)+1),$AB$3:$AB$10-ROW($AB$3:$AB$10)/COUNT($AB$3:$AB$10),0))</f>
        <v>UKS LESZNOWOLA 7</v>
      </c>
      <c r="I6" s="13">
        <f t="shared" si="0"/>
        <v>7</v>
      </c>
      <c r="J6" s="13">
        <f t="shared" si="1"/>
        <v>3</v>
      </c>
      <c r="K6" s="13">
        <f t="shared" si="2"/>
        <v>4</v>
      </c>
      <c r="L6" s="13">
        <f t="shared" si="3"/>
        <v>67</v>
      </c>
      <c r="M6" s="13">
        <f t="shared" si="4"/>
        <v>62</v>
      </c>
      <c r="N6" s="13">
        <f t="shared" si="5"/>
        <v>5</v>
      </c>
      <c r="O6" s="27">
        <f>IF(Tabela134567[[#This Row],[STRACONE]]=0,0,Tabela134567[[#This Row],[ZDOBYTE]]/Tabela134567[[#This Row],[STRACONE]])</f>
        <v>1.0806451612903225</v>
      </c>
      <c r="P6" s="14">
        <f t="shared" si="6"/>
        <v>6</v>
      </c>
      <c r="S6" s="21" t="str">
        <f t="shared" si="7"/>
        <v>UKS LESZNOWOLA 16</v>
      </c>
      <c r="T6" s="16" cm="1">
        <f t="array" ref="T6">SUM((home=S6)*(ISNUMBER(homescore)),(visitor=S6)*(ISNUMBER(visitorscore)))</f>
        <v>7</v>
      </c>
      <c r="U6" s="3">
        <f t="array" ref="U6">SUM((home=S6)*(homescore&gt;visitorscore),(visitor=S6)*(visitorscore&gt;homescore))</f>
        <v>1</v>
      </c>
      <c r="V6" s="3">
        <f t="array" ref="V6">SUM((home=S6)*(homescore&lt;visitorscore),(visitor=S6)*(visitorscore&lt;homescore))</f>
        <v>6</v>
      </c>
      <c r="W6" s="17">
        <f t="shared" ref="W6" si="18">SUMIF(home,S6,homescore)+SUMIF(visitor,S6,visitorscore)</f>
        <v>58</v>
      </c>
      <c r="X6" s="18">
        <f t="shared" ref="X6" si="19">SUMIF(home,S6,visitorscore)+SUMIF(visitor,S6,homescore)</f>
        <v>72</v>
      </c>
      <c r="Y6" s="3">
        <f t="shared" si="12"/>
        <v>-14</v>
      </c>
      <c r="Z6" s="29">
        <f t="shared" si="13"/>
        <v>0.80555555555555558</v>
      </c>
      <c r="AA6" s="17">
        <f t="shared" si="14"/>
        <v>2</v>
      </c>
      <c r="AB6" s="19">
        <f t="shared" si="15"/>
        <v>199860863.55555555</v>
      </c>
    </row>
    <row r="7" spans="1:28">
      <c r="A7" s="20" t="s">
        <v>22</v>
      </c>
      <c r="H7" s="22" t="str" cm="1">
        <f t="array" ref="H7">INDEX($S$3:$S$10,MATCH(LARGE($AB$3:$AB$10-ROW($AB$3:$AB$10)/COUNT($AB$3:$AB$10),ROW(H7)-ROW(H$3)+1),$AB$3:$AB$10-ROW($AB$3:$AB$10)/COUNT($AB$3:$AB$10),0))</f>
        <v>SASKA WARSZAWA 1</v>
      </c>
      <c r="I7" s="23">
        <f t="shared" si="0"/>
        <v>7</v>
      </c>
      <c r="J7" s="23">
        <f t="shared" si="1"/>
        <v>3</v>
      </c>
      <c r="K7" s="23">
        <f t="shared" si="2"/>
        <v>4</v>
      </c>
      <c r="L7" s="23">
        <f t="shared" si="3"/>
        <v>63</v>
      </c>
      <c r="M7" s="23">
        <f t="shared" si="4"/>
        <v>71</v>
      </c>
      <c r="N7" s="23">
        <f t="shared" si="5"/>
        <v>-8</v>
      </c>
      <c r="O7" s="27">
        <f>IF(Tabela134567[[#This Row],[STRACONE]]=0,0,Tabela134567[[#This Row],[ZDOBYTE]]/Tabela134567[[#This Row],[STRACONE]])</f>
        <v>0.88732394366197187</v>
      </c>
      <c r="P7" s="24">
        <f t="shared" si="6"/>
        <v>6</v>
      </c>
      <c r="S7" s="21" t="str">
        <f t="shared" si="7"/>
        <v>SASKA WARSZAWA 2</v>
      </c>
      <c r="T7" s="16" cm="1">
        <f t="array" ref="T7">SUM((home=S7)*(ISNUMBER(homescore)),(visitor=S7)*(ISNUMBER(visitorscore)))</f>
        <v>7</v>
      </c>
      <c r="U7" s="3">
        <f t="array" ref="U7">SUM((home=S7)*(homescore&gt;visitorscore),(visitor=S7)*(visitorscore&gt;homescore))</f>
        <v>7</v>
      </c>
      <c r="V7" s="3">
        <f t="array" ref="V7">SUM((home=S7)*(homescore&lt;visitorscore),(visitor=S7)*(visitorscore&lt;homescore))</f>
        <v>0</v>
      </c>
      <c r="W7" s="17">
        <f t="shared" ref="W7" si="20">SUMIF(home,S7,homescore)+SUMIF(visitor,S7,visitorscore)</f>
        <v>77</v>
      </c>
      <c r="X7" s="18">
        <f t="shared" ref="X7" si="21">SUMIF(home,S7,visitorscore)+SUMIF(visitor,S7,homescore)</f>
        <v>43</v>
      </c>
      <c r="Y7" s="3">
        <f t="shared" si="12"/>
        <v>34</v>
      </c>
      <c r="Z7" s="29">
        <f t="shared" si="13"/>
        <v>1.7906976744186047</v>
      </c>
      <c r="AA7" s="17">
        <f t="shared" si="14"/>
        <v>14</v>
      </c>
      <c r="AB7" s="19">
        <f t="shared" si="15"/>
        <v>1400341867.6976745</v>
      </c>
    </row>
    <row r="8" spans="1:28">
      <c r="A8" s="20" t="s">
        <v>23</v>
      </c>
      <c r="H8" s="22" t="str" cm="1">
        <f t="array" ref="H8">INDEX($S$3:$S$10,MATCH(LARGE($AB$3:$AB$10-ROW($AB$3:$AB$10)/COUNT($AB$3:$AB$10),ROW(H8)-ROW(H$3)+1),$AB$3:$AB$10-ROW($AB$3:$AB$10)/COUNT($AB$3:$AB$10),0))</f>
        <v>ORLETA RASZYN 2</v>
      </c>
      <c r="I8" s="23">
        <f t="shared" si="0"/>
        <v>7</v>
      </c>
      <c r="J8" s="23">
        <f t="shared" si="1"/>
        <v>3</v>
      </c>
      <c r="K8" s="23">
        <f t="shared" si="2"/>
        <v>4</v>
      </c>
      <c r="L8" s="23">
        <f t="shared" si="3"/>
        <v>61</v>
      </c>
      <c r="M8" s="23">
        <f t="shared" si="4"/>
        <v>69</v>
      </c>
      <c r="N8" s="23">
        <f t="shared" si="5"/>
        <v>-8</v>
      </c>
      <c r="O8" s="27">
        <f>IF(Tabela134567[[#This Row],[STRACONE]]=0,0,Tabela134567[[#This Row],[ZDOBYTE]]/Tabela134567[[#This Row],[STRACONE]])</f>
        <v>0.88405797101449279</v>
      </c>
      <c r="P8" s="24">
        <f t="shared" si="6"/>
        <v>6</v>
      </c>
      <c r="S8" s="21" t="str">
        <f t="shared" si="7"/>
        <v>ORLETA RASZYN 2</v>
      </c>
      <c r="T8" s="16" cm="1">
        <f t="array" ref="T8">SUM((home=S8)*(ISNUMBER(homescore)),(visitor=S8)*(ISNUMBER(visitorscore)))</f>
        <v>7</v>
      </c>
      <c r="U8" s="3">
        <f t="array" ref="U8">SUM((home=S8)*(homescore&gt;visitorscore),(visitor=S8)*(visitorscore&gt;homescore))</f>
        <v>3</v>
      </c>
      <c r="V8" s="3">
        <f t="array" ref="V8">SUM((home=S8)*(homescore&lt;visitorscore),(visitor=S8)*(visitorscore&lt;homescore))</f>
        <v>4</v>
      </c>
      <c r="W8" s="17">
        <f t="shared" ref="W8" si="22">SUMIF(home,S8,homescore)+SUMIF(visitor,S8,visitorscore)</f>
        <v>61</v>
      </c>
      <c r="X8" s="18">
        <f t="shared" ref="X8" si="23">SUMIF(home,S8,visitorscore)+SUMIF(visitor,S8,homescore)</f>
        <v>69</v>
      </c>
      <c r="Y8" s="3">
        <f t="shared" si="12"/>
        <v>-8</v>
      </c>
      <c r="Z8" s="29">
        <f t="shared" si="13"/>
        <v>0.88405797101449279</v>
      </c>
      <c r="AA8" s="17">
        <f t="shared" si="14"/>
        <v>6</v>
      </c>
      <c r="AB8" s="19">
        <f t="shared" si="15"/>
        <v>599920945.057971</v>
      </c>
    </row>
    <row r="9" spans="1:28">
      <c r="A9" s="20" t="s">
        <v>24</v>
      </c>
      <c r="H9" s="22" t="str" cm="1">
        <f t="array" ref="H9">INDEX($S$3:$S$10,MATCH(LARGE($AB$3:$AB$10-ROW($AB$3:$AB$10)/COUNT($AB$3:$AB$10),ROW(H9)-ROW(H$3)+1),$AB$3:$AB$10-ROW($AB$3:$AB$10)/COUNT($AB$3:$AB$10),0))</f>
        <v>ISKRA WARSZAWA 3</v>
      </c>
      <c r="I9" s="23">
        <f t="shared" si="0"/>
        <v>7</v>
      </c>
      <c r="J9" s="23">
        <f t="shared" si="1"/>
        <v>2</v>
      </c>
      <c r="K9" s="23">
        <f t="shared" si="2"/>
        <v>5</v>
      </c>
      <c r="L9" s="23">
        <f t="shared" si="3"/>
        <v>51</v>
      </c>
      <c r="M9" s="23">
        <f t="shared" si="4"/>
        <v>69</v>
      </c>
      <c r="N9" s="23">
        <f t="shared" si="5"/>
        <v>-18</v>
      </c>
      <c r="O9" s="27">
        <f>IF(Tabela134567[[#This Row],[STRACONE]]=0,0,Tabela134567[[#This Row],[ZDOBYTE]]/Tabela134567[[#This Row],[STRACONE]])</f>
        <v>0.73913043478260865</v>
      </c>
      <c r="P9" s="24">
        <f t="shared" si="6"/>
        <v>4</v>
      </c>
      <c r="S9" s="21" t="str">
        <f t="shared" si="7"/>
        <v>PERLA ZLOTOKLOS 3</v>
      </c>
      <c r="T9" s="16" cm="1">
        <f t="array" ref="T9">SUM((home=S9)*(ISNUMBER(homescore)),(visitor=S9)*(ISNUMBER(visitorscore)))</f>
        <v>7</v>
      </c>
      <c r="U9" s="3">
        <f t="array" ref="U9">SUM((home=S9)*(homescore&gt;visitorscore),(visitor=S9)*(visitorscore&gt;homescore))</f>
        <v>4</v>
      </c>
      <c r="V9" s="3">
        <f t="array" ref="V9">SUM((home=S9)*(homescore&lt;visitorscore),(visitor=S9)*(visitorscore&lt;homescore))</f>
        <v>3</v>
      </c>
      <c r="W9" s="17">
        <f t="shared" ref="W9" si="24">SUMIF(home,S9,homescore)+SUMIF(visitor,S9,visitorscore)</f>
        <v>63</v>
      </c>
      <c r="X9" s="18">
        <f t="shared" ref="X9" si="25">SUMIF(home,S9,visitorscore)+SUMIF(visitor,S9,homescore)</f>
        <v>62</v>
      </c>
      <c r="Y9" s="3">
        <f t="shared" si="12"/>
        <v>1</v>
      </c>
      <c r="Z9" s="29">
        <f t="shared" si="13"/>
        <v>1.0161290322580645</v>
      </c>
      <c r="AA9" s="17">
        <f t="shared" si="14"/>
        <v>8</v>
      </c>
      <c r="AB9" s="19">
        <f t="shared" si="15"/>
        <v>800011079.12903225</v>
      </c>
    </row>
    <row r="10" spans="1:28">
      <c r="A10" s="20" t="s">
        <v>25</v>
      </c>
      <c r="H10" s="22" t="str" cm="1">
        <f t="array" ref="H10">INDEX($S$3:$S$10,MATCH(LARGE($AB$3:$AB$10-ROW($AB$3:$AB$10)/COUNT($AB$3:$AB$10),ROW(H10)-ROW(H$3)+1),$AB$3:$AB$10-ROW($AB$3:$AB$10)/COUNT($AB$3:$AB$10),0))</f>
        <v>UKS LESZNOWOLA 16</v>
      </c>
      <c r="I10" s="23">
        <f t="shared" si="0"/>
        <v>7</v>
      </c>
      <c r="J10" s="23">
        <f t="shared" si="1"/>
        <v>1</v>
      </c>
      <c r="K10" s="23">
        <f t="shared" si="2"/>
        <v>6</v>
      </c>
      <c r="L10" s="23">
        <f t="shared" si="3"/>
        <v>58</v>
      </c>
      <c r="M10" s="23">
        <f t="shared" si="4"/>
        <v>72</v>
      </c>
      <c r="N10" s="23">
        <f t="shared" si="5"/>
        <v>-14</v>
      </c>
      <c r="O10" s="27">
        <f>IF(Tabela134567[[#This Row],[STRACONE]]=0,0,Tabela134567[[#This Row],[ZDOBYTE]]/Tabela134567[[#This Row],[STRACONE]])</f>
        <v>0.80555555555555558</v>
      </c>
      <c r="P10" s="24">
        <f t="shared" si="6"/>
        <v>2</v>
      </c>
      <c r="S10" s="21" t="str">
        <f t="shared" si="7"/>
        <v>SASKA WARSZAWA 1</v>
      </c>
      <c r="T10" s="16" cm="1">
        <f t="array" ref="T10">SUM((home=S10)*(ISNUMBER(homescore)),(visitor=S10)*(ISNUMBER(visitorscore)))</f>
        <v>7</v>
      </c>
      <c r="U10" s="3">
        <f t="array" ref="U10">SUM((home=S10)*(homescore&gt;visitorscore),(visitor=S10)*(visitorscore&gt;homescore))</f>
        <v>3</v>
      </c>
      <c r="V10" s="3">
        <f t="array" ref="V10">SUM((home=S10)*(homescore&lt;visitorscore),(visitor=S10)*(visitorscore&lt;homescore))</f>
        <v>4</v>
      </c>
      <c r="W10" s="17">
        <f t="shared" ref="W10" si="26">SUMIF(home,S10,homescore)+SUMIF(visitor,S10,visitorscore)</f>
        <v>63</v>
      </c>
      <c r="X10" s="18">
        <f t="shared" ref="X10" si="27">SUMIF(home,S10,visitorscore)+SUMIF(visitor,S10,homescore)</f>
        <v>71</v>
      </c>
      <c r="Y10" s="3">
        <f t="shared" si="12"/>
        <v>-8</v>
      </c>
      <c r="Z10" s="29">
        <f t="shared" si="13"/>
        <v>0.88732394366197187</v>
      </c>
      <c r="AA10" s="17">
        <f t="shared" si="14"/>
        <v>6</v>
      </c>
      <c r="AB10" s="19">
        <f t="shared" si="15"/>
        <v>599920950.32394361</v>
      </c>
    </row>
    <row r="11" spans="1:28">
      <c r="A11" s="20" t="s">
        <v>26</v>
      </c>
    </row>
    <row r="14" spans="1:28">
      <c r="A14" s="10" t="s">
        <v>27</v>
      </c>
      <c r="B14" s="10" t="s">
        <v>28</v>
      </c>
      <c r="H14" s="25"/>
    </row>
    <row r="15" spans="1:28">
      <c r="A15" s="26" t="str">
        <f>A4</f>
        <v>UKS LESZNOWOLA 7</v>
      </c>
      <c r="B15" s="26" t="str">
        <f>A11</f>
        <v>SASKA WARSZAWA 1</v>
      </c>
      <c r="C15" s="13">
        <v>8</v>
      </c>
      <c r="D15" s="13" t="s">
        <v>29</v>
      </c>
      <c r="E15" s="13">
        <v>11</v>
      </c>
      <c r="F15" s="3"/>
    </row>
    <row r="16" spans="1:28">
      <c r="A16" s="26" t="str">
        <f>A5</f>
        <v>METRO WARSZAWA 4</v>
      </c>
      <c r="B16" s="26" t="str">
        <f>A10</f>
        <v>PERLA ZLOTOKLOS 3</v>
      </c>
      <c r="C16" s="13">
        <v>11</v>
      </c>
      <c r="D16" s="13" t="s">
        <v>29</v>
      </c>
      <c r="E16" s="13">
        <v>8</v>
      </c>
      <c r="F16" s="3"/>
    </row>
    <row r="17" spans="1:29">
      <c r="A17" s="26" t="str">
        <f>A6</f>
        <v>ISKRA WARSZAWA 3</v>
      </c>
      <c r="B17" s="26" t="str">
        <f>A9</f>
        <v>ORLETA RASZYN 2</v>
      </c>
      <c r="C17" s="13">
        <v>5</v>
      </c>
      <c r="D17" s="13" t="s">
        <v>29</v>
      </c>
      <c r="E17" s="13">
        <v>11</v>
      </c>
      <c r="F17" s="3"/>
    </row>
    <row r="18" spans="1:29">
      <c r="A18" s="26" t="str">
        <f>A7</f>
        <v>UKS LESZNOWOLA 16</v>
      </c>
      <c r="B18" s="26" t="str">
        <f>A8</f>
        <v>SASKA WARSZAWA 2</v>
      </c>
      <c r="C18" s="13">
        <v>7</v>
      </c>
      <c r="D18" s="13" t="s">
        <v>29</v>
      </c>
      <c r="E18" s="13">
        <v>11</v>
      </c>
      <c r="F18" s="3"/>
    </row>
    <row r="19" spans="1:29">
      <c r="A19" s="26" t="str">
        <f>A11</f>
        <v>SASKA WARSZAWA 1</v>
      </c>
      <c r="B19" s="26" t="str">
        <f>A8</f>
        <v>SASKA WARSZAWA 2</v>
      </c>
      <c r="C19" s="13">
        <v>7</v>
      </c>
      <c r="D19" s="13" t="s">
        <v>29</v>
      </c>
      <c r="E19" s="13">
        <v>11</v>
      </c>
      <c r="F19" s="3" t="s">
        <v>30</v>
      </c>
    </row>
    <row r="20" spans="1:29" s="3" customFormat="1">
      <c r="A20" s="26" t="str">
        <f>A9</f>
        <v>ORLETA RASZYN 2</v>
      </c>
      <c r="B20" s="26" t="str">
        <f>A7</f>
        <v>UKS LESZNOWOLA 16</v>
      </c>
      <c r="C20" s="13">
        <v>11</v>
      </c>
      <c r="D20" s="13" t="s">
        <v>29</v>
      </c>
      <c r="E20" s="13">
        <v>10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3" customFormat="1">
      <c r="A21" s="26" t="str">
        <f>A10</f>
        <v>PERLA ZLOTOKLOS 3</v>
      </c>
      <c r="B21" s="26" t="str">
        <f>A6</f>
        <v>ISKRA WARSZAWA 3</v>
      </c>
      <c r="C21" s="13">
        <v>11</v>
      </c>
      <c r="D21" s="13" t="s">
        <v>29</v>
      </c>
      <c r="E21" s="13">
        <v>5</v>
      </c>
      <c r="F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3" customFormat="1">
      <c r="A22" s="26" t="str">
        <f>A4</f>
        <v>UKS LESZNOWOLA 7</v>
      </c>
      <c r="B22" s="26" t="str">
        <f>A5</f>
        <v>METRO WARSZAWA 4</v>
      </c>
      <c r="C22" s="13">
        <v>11</v>
      </c>
      <c r="D22" s="13" t="s">
        <v>29</v>
      </c>
      <c r="E22" s="13">
        <v>6</v>
      </c>
      <c r="F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3" customFormat="1">
      <c r="A23" s="26" t="str">
        <f>A5</f>
        <v>METRO WARSZAWA 4</v>
      </c>
      <c r="B23" s="26" t="str">
        <f>A11</f>
        <v>SASKA WARSZAWA 1</v>
      </c>
      <c r="C23" s="13">
        <v>11</v>
      </c>
      <c r="D23" s="13" t="s">
        <v>29</v>
      </c>
      <c r="E23" s="13">
        <v>7</v>
      </c>
      <c r="F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3" customFormat="1">
      <c r="A24" s="26" t="str">
        <f>A6</f>
        <v>ISKRA WARSZAWA 3</v>
      </c>
      <c r="B24" s="26" t="str">
        <f>A4</f>
        <v>UKS LESZNOWOLA 7</v>
      </c>
      <c r="C24" s="13">
        <v>11</v>
      </c>
      <c r="D24" s="13" t="s">
        <v>29</v>
      </c>
      <c r="E24" s="13">
        <v>7</v>
      </c>
      <c r="F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26" t="str">
        <f>A7</f>
        <v>UKS LESZNOWOLA 16</v>
      </c>
      <c r="B25" s="26" t="str">
        <f>A10</f>
        <v>PERLA ZLOTOKLOS 3</v>
      </c>
      <c r="C25" s="13">
        <v>10</v>
      </c>
      <c r="D25" s="13" t="s">
        <v>29</v>
      </c>
      <c r="E25" s="13">
        <v>11</v>
      </c>
    </row>
    <row r="26" spans="1:29">
      <c r="A26" s="26" t="str">
        <f>A8</f>
        <v>SASKA WARSZAWA 2</v>
      </c>
      <c r="B26" s="26" t="str">
        <f>A9</f>
        <v>ORLETA RASZYN 2</v>
      </c>
      <c r="C26" s="13">
        <v>11</v>
      </c>
      <c r="D26" s="13" t="s">
        <v>29</v>
      </c>
      <c r="E26" s="13">
        <v>6</v>
      </c>
    </row>
    <row r="27" spans="1:29">
      <c r="A27" s="26" t="str">
        <f>A11</f>
        <v>SASKA WARSZAWA 1</v>
      </c>
      <c r="B27" s="26" t="str">
        <f>A9</f>
        <v>ORLETA RASZYN 2</v>
      </c>
      <c r="C27" s="13">
        <v>11</v>
      </c>
      <c r="D27" s="13" t="s">
        <v>29</v>
      </c>
      <c r="E27" s="13">
        <v>9</v>
      </c>
    </row>
    <row r="28" spans="1:29">
      <c r="A28" s="26" t="str">
        <f>A10</f>
        <v>PERLA ZLOTOKLOS 3</v>
      </c>
      <c r="B28" s="26" t="str">
        <f>A8</f>
        <v>SASKA WARSZAWA 2</v>
      </c>
      <c r="C28" s="13">
        <v>4</v>
      </c>
      <c r="D28" s="13" t="s">
        <v>29</v>
      </c>
      <c r="E28" s="13">
        <v>11</v>
      </c>
    </row>
    <row r="29" spans="1:29">
      <c r="A29" s="26" t="str">
        <f t="shared" ref="A29:A34" si="28">A4</f>
        <v>UKS LESZNOWOLA 7</v>
      </c>
      <c r="B29" s="26" t="str">
        <f>A7</f>
        <v>UKS LESZNOWOLA 16</v>
      </c>
      <c r="C29" s="13">
        <v>11</v>
      </c>
      <c r="D29" s="13" t="s">
        <v>29</v>
      </c>
      <c r="E29" s="13">
        <v>5</v>
      </c>
    </row>
    <row r="30" spans="1:29">
      <c r="A30" s="26" t="str">
        <f t="shared" si="28"/>
        <v>METRO WARSZAWA 4</v>
      </c>
      <c r="B30" s="26" t="str">
        <f>A6</f>
        <v>ISKRA WARSZAWA 3</v>
      </c>
      <c r="C30" s="13">
        <v>11</v>
      </c>
      <c r="D30" s="13" t="s">
        <v>29</v>
      </c>
      <c r="E30" s="13">
        <v>4</v>
      </c>
    </row>
    <row r="31" spans="1:29">
      <c r="A31" s="26" t="str">
        <f t="shared" si="28"/>
        <v>ISKRA WARSZAWA 3</v>
      </c>
      <c r="B31" s="26" t="str">
        <f>A11</f>
        <v>SASKA WARSZAWA 1</v>
      </c>
      <c r="C31" s="13">
        <v>10</v>
      </c>
      <c r="D31" s="13" t="s">
        <v>29</v>
      </c>
      <c r="E31" s="13">
        <v>11</v>
      </c>
    </row>
    <row r="32" spans="1:29">
      <c r="A32" s="26" t="str">
        <f t="shared" si="28"/>
        <v>UKS LESZNOWOLA 16</v>
      </c>
      <c r="B32" s="26" t="str">
        <f>A5</f>
        <v>METRO WARSZAWA 4</v>
      </c>
      <c r="C32" s="13">
        <v>8</v>
      </c>
      <c r="D32" s="13" t="s">
        <v>29</v>
      </c>
      <c r="E32" s="13">
        <v>11</v>
      </c>
    </row>
    <row r="33" spans="1:5">
      <c r="A33" s="26" t="str">
        <f t="shared" si="28"/>
        <v>SASKA WARSZAWA 2</v>
      </c>
      <c r="B33" s="26" t="str">
        <f>A4</f>
        <v>UKS LESZNOWOLA 7</v>
      </c>
      <c r="C33" s="13">
        <v>11</v>
      </c>
      <c r="D33" s="13" t="s">
        <v>29</v>
      </c>
      <c r="E33" s="13">
        <v>9</v>
      </c>
    </row>
    <row r="34" spans="1:5">
      <c r="A34" s="26" t="str">
        <f t="shared" si="28"/>
        <v>ORLETA RASZYN 2</v>
      </c>
      <c r="B34" s="26" t="str">
        <f>A10</f>
        <v>PERLA ZLOTOKLOS 3</v>
      </c>
      <c r="C34" s="13">
        <v>4</v>
      </c>
      <c r="D34" s="13" t="s">
        <v>29</v>
      </c>
      <c r="E34" s="13">
        <v>11</v>
      </c>
    </row>
    <row r="35" spans="1:5">
      <c r="A35" s="26" t="str">
        <f>A11</f>
        <v>SASKA WARSZAWA 1</v>
      </c>
      <c r="B35" s="26" t="str">
        <f>A10</f>
        <v>PERLA ZLOTOKLOS 3</v>
      </c>
      <c r="C35" s="13">
        <v>10</v>
      </c>
      <c r="D35" s="13" t="s">
        <v>29</v>
      </c>
      <c r="E35" s="13">
        <v>11</v>
      </c>
    </row>
    <row r="36" spans="1:5">
      <c r="A36" s="26" t="str">
        <f t="shared" ref="A36:A42" si="29">A4</f>
        <v>UKS LESZNOWOLA 7</v>
      </c>
      <c r="B36" s="26" t="str">
        <f>A9</f>
        <v>ORLETA RASZYN 2</v>
      </c>
      <c r="C36" s="13">
        <v>10</v>
      </c>
      <c r="D36" s="13" t="s">
        <v>29</v>
      </c>
      <c r="E36" s="13">
        <v>11</v>
      </c>
    </row>
    <row r="37" spans="1:5">
      <c r="A37" s="26" t="str">
        <f t="shared" si="29"/>
        <v>METRO WARSZAWA 4</v>
      </c>
      <c r="B37" s="26" t="str">
        <f>A8</f>
        <v>SASKA WARSZAWA 2</v>
      </c>
      <c r="C37" s="13">
        <v>5</v>
      </c>
      <c r="D37" s="13" t="s">
        <v>29</v>
      </c>
      <c r="E37" s="13">
        <v>11</v>
      </c>
    </row>
    <row r="38" spans="1:5">
      <c r="A38" s="26" t="str">
        <f t="shared" si="29"/>
        <v>ISKRA WARSZAWA 3</v>
      </c>
      <c r="B38" s="26" t="str">
        <f>A7</f>
        <v>UKS LESZNOWOLA 16</v>
      </c>
      <c r="C38" s="13">
        <v>11</v>
      </c>
      <c r="D38" s="13" t="s">
        <v>29</v>
      </c>
      <c r="E38" s="13">
        <v>7</v>
      </c>
    </row>
    <row r="39" spans="1:5">
      <c r="A39" s="26" t="str">
        <f t="shared" si="29"/>
        <v>UKS LESZNOWOLA 16</v>
      </c>
      <c r="B39" s="26" t="str">
        <f>A11</f>
        <v>SASKA WARSZAWA 1</v>
      </c>
      <c r="C39" s="13">
        <v>11</v>
      </c>
      <c r="D39" s="13" t="s">
        <v>29</v>
      </c>
      <c r="E39" s="13">
        <v>6</v>
      </c>
    </row>
    <row r="40" spans="1:5">
      <c r="A40" s="26" t="str">
        <f t="shared" si="29"/>
        <v>SASKA WARSZAWA 2</v>
      </c>
      <c r="B40" s="26" t="str">
        <f>A6</f>
        <v>ISKRA WARSZAWA 3</v>
      </c>
      <c r="C40" s="13">
        <v>11</v>
      </c>
      <c r="D40" s="13" t="s">
        <v>29</v>
      </c>
      <c r="E40" s="13">
        <v>5</v>
      </c>
    </row>
    <row r="41" spans="1:5">
      <c r="A41" s="26" t="str">
        <f t="shared" si="29"/>
        <v>ORLETA RASZYN 2</v>
      </c>
      <c r="B41" s="26" t="str">
        <f>A5</f>
        <v>METRO WARSZAWA 4</v>
      </c>
      <c r="C41" s="13">
        <v>9</v>
      </c>
      <c r="D41" s="13" t="s">
        <v>29</v>
      </c>
      <c r="E41" s="13">
        <v>11</v>
      </c>
    </row>
    <row r="42" spans="1:5">
      <c r="A42" s="26" t="str">
        <f t="shared" si="29"/>
        <v>PERLA ZLOTOKLOS 3</v>
      </c>
      <c r="B42" s="26" t="str">
        <f>A4</f>
        <v>UKS LESZNOWOLA 7</v>
      </c>
      <c r="C42" s="13">
        <v>7</v>
      </c>
      <c r="D42" s="13" t="s">
        <v>29</v>
      </c>
      <c r="E42" s="13">
        <v>11</v>
      </c>
    </row>
  </sheetData>
  <autoFilter ref="A14:B42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4CC8-92BC-4B17-B1AB-6F2B346DD1AD}">
  <dimension ref="A1:AC42"/>
  <sheetViews>
    <sheetView workbookViewId="0">
      <selection activeCell="G42" sqref="G42"/>
    </sheetView>
  </sheetViews>
  <sheetFormatPr defaultColWidth="8.85546875" defaultRowHeight="15"/>
  <cols>
    <col min="1" max="2" width="24.42578125" style="2" bestFit="1" customWidth="1"/>
    <col min="3" max="5" width="3.85546875" style="2" customWidth="1"/>
    <col min="6" max="6" width="8.28515625" style="2" customWidth="1"/>
    <col min="7" max="7" width="8.28515625" style="3" customWidth="1"/>
    <col min="8" max="8" width="24.42578125" style="3" bestFit="1" customWidth="1"/>
    <col min="9" max="9" width="11.7109375" style="3" customWidth="1"/>
    <col min="10" max="16" width="11.7109375" style="2" customWidth="1"/>
    <col min="17" max="17" width="11.42578125" style="2" customWidth="1"/>
    <col min="18" max="18" width="8.85546875" style="2" hidden="1" customWidth="1"/>
    <col min="19" max="26" width="9.140625" style="2" hidden="1" customWidth="1"/>
    <col min="27" max="27" width="4.140625" style="2" hidden="1" customWidth="1"/>
    <col min="28" max="28" width="9.140625" style="2" hidden="1" customWidth="1"/>
    <col min="29" max="29" width="8.85546875" style="2" hidden="1" customWidth="1"/>
    <col min="30" max="16384" width="8.85546875" style="2"/>
  </cols>
  <sheetData>
    <row r="1" spans="1:28" ht="28.5">
      <c r="A1" s="1" t="s">
        <v>31</v>
      </c>
      <c r="S1" s="80" t="s">
        <v>1</v>
      </c>
      <c r="T1" s="2" t="b">
        <f>ROWS(homescore)-COUNT(homescore)=0</f>
        <v>1</v>
      </c>
      <c r="U1" s="80" t="s">
        <v>2</v>
      </c>
      <c r="V1" s="2">
        <f>ROWS(homescore)-COUNTA(homescore)</f>
        <v>0</v>
      </c>
    </row>
    <row r="2" spans="1:28">
      <c r="H2" s="4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6" t="s">
        <v>10</v>
      </c>
      <c r="P2" s="6" t="s">
        <v>11</v>
      </c>
      <c r="T2" s="7" t="s">
        <v>4</v>
      </c>
      <c r="U2" s="8" t="s">
        <v>12</v>
      </c>
      <c r="V2" s="8" t="s">
        <v>13</v>
      </c>
      <c r="W2" s="9" t="s">
        <v>14</v>
      </c>
      <c r="X2" s="4" t="s">
        <v>15</v>
      </c>
      <c r="Y2" s="8" t="s">
        <v>16</v>
      </c>
      <c r="Z2" s="28" t="s">
        <v>17</v>
      </c>
      <c r="AA2" s="9" t="s">
        <v>13</v>
      </c>
      <c r="AB2" s="9" t="s">
        <v>18</v>
      </c>
    </row>
    <row r="3" spans="1:28">
      <c r="A3" s="10" t="s">
        <v>3</v>
      </c>
      <c r="B3" s="11"/>
      <c r="H3" s="12" t="str" cm="1">
        <f t="array" ref="H3">INDEX($S$3:$S$10,MATCH(LARGE($AB$3:$AB$10-ROW($AB$3:$AB$10)/COUNT($AB$3:$AB$10),ROW(H3)-ROW(H$3)+1),$AB$3:$AB$10-ROW($AB$3:$AB$10)/COUNT($AB$3:$AB$10),0))</f>
        <v>SPARTA GRODZISK MAZ. 3</v>
      </c>
      <c r="I3" s="13">
        <f t="shared" ref="I3:I10" si="0">VLOOKUP($H3,$S$3:$AA$10,2,0)</f>
        <v>7</v>
      </c>
      <c r="J3" s="13">
        <f t="shared" ref="J3:J10" si="1">VLOOKUP($H3,$S$3:$AA$10,3,0)</f>
        <v>6</v>
      </c>
      <c r="K3" s="13">
        <f t="shared" ref="K3:K10" si="2">VLOOKUP($H3,$S$3:$AA$10,4,0)</f>
        <v>1</v>
      </c>
      <c r="L3" s="13">
        <f t="shared" ref="L3:L10" si="3">VLOOKUP($H3,$S$3:$AA$10,5,0)</f>
        <v>76</v>
      </c>
      <c r="M3" s="13">
        <f t="shared" ref="M3:M10" si="4">VLOOKUP($H3,$S$3:$AA$10,6,0)</f>
        <v>41</v>
      </c>
      <c r="N3" s="13">
        <f t="shared" ref="N3:N10" si="5">VLOOKUP($H3,$S$3:$AA$10,7,0)</f>
        <v>35</v>
      </c>
      <c r="O3" s="27">
        <f>IF(Tabela13456[[#This Row],[STRACONE]]=0,0,Tabela13456[[#This Row],[ZDOBYTE]]/Tabela13456[[#This Row],[STRACONE]])</f>
        <v>1.8536585365853659</v>
      </c>
      <c r="P3" s="14">
        <f t="shared" ref="P3:P10" si="6">VLOOKUP($H3,$S$3:$AB$10,9,0)</f>
        <v>12</v>
      </c>
      <c r="S3" s="15" t="str">
        <f t="shared" ref="S3:S10" si="7">A4</f>
        <v>ORLĘTA RASZYN 4</v>
      </c>
      <c r="T3" s="16" cm="1">
        <f t="array" ref="T3">SUM((home=S3)*(ISNUMBER(homescore)),(visitor=S3)*(ISNUMBER(visitorscore)))</f>
        <v>7</v>
      </c>
      <c r="U3" s="3">
        <f t="array" ref="U3">SUM((home=S3)*(homescore&gt;visitorscore),(visitor=S3)*(visitorscore&gt;homescore))</f>
        <v>5</v>
      </c>
      <c r="V3" s="3">
        <f t="array" ref="V3">SUM((home=S3)*(homescore&lt;visitorscore),(visitor=S3)*(visitorscore&lt;homescore))</f>
        <v>2</v>
      </c>
      <c r="W3" s="17">
        <f t="shared" ref="W3" si="8">SUMIF(home,S3,homescore)+SUMIF(visitor,S3,visitorscore)</f>
        <v>70</v>
      </c>
      <c r="X3" s="18">
        <f t="shared" ref="X3" si="9">SUMIF(home,S3,visitorscore)+SUMIF(visitor,S3,homescore)</f>
        <v>51</v>
      </c>
      <c r="Y3" s="3">
        <f>W3-X3</f>
        <v>19</v>
      </c>
      <c r="Z3" s="29">
        <f>IF(X3&gt;0,W3/X3,0)</f>
        <v>1.3725490196078431</v>
      </c>
      <c r="AA3" s="17">
        <f>2*U3</f>
        <v>10</v>
      </c>
      <c r="AB3" s="19">
        <f>W3+Z3*1000+Y3*10000+AA3*100000000</f>
        <v>1000191442.5490196</v>
      </c>
    </row>
    <row r="4" spans="1:28">
      <c r="A4" s="20" t="s">
        <v>32</v>
      </c>
      <c r="H4" s="12" t="str" cm="1">
        <f t="array" ref="H4">INDEX($S$3:$S$10,MATCH(LARGE($AB$3:$AB$10-ROW($AB$3:$AB$10)/COUNT($AB$3:$AB$10),ROW(H4)-ROW(H$3)+1),$AB$3:$AB$10-ROW($AB$3:$AB$10)/COUNT($AB$3:$AB$10),0))</f>
        <v>ORLĘTA RASZYN 4</v>
      </c>
      <c r="I4" s="13">
        <f t="shared" si="0"/>
        <v>7</v>
      </c>
      <c r="J4" s="13">
        <f t="shared" si="1"/>
        <v>5</v>
      </c>
      <c r="K4" s="13">
        <f t="shared" si="2"/>
        <v>2</v>
      </c>
      <c r="L4" s="13">
        <f t="shared" si="3"/>
        <v>70</v>
      </c>
      <c r="M4" s="13">
        <f t="shared" si="4"/>
        <v>51</v>
      </c>
      <c r="N4" s="13">
        <f t="shared" si="5"/>
        <v>19</v>
      </c>
      <c r="O4" s="27">
        <f>IF(Tabela13456[[#This Row],[STRACONE]]=0,0,Tabela13456[[#This Row],[ZDOBYTE]]/Tabela13456[[#This Row],[STRACONE]])</f>
        <v>1.3725490196078431</v>
      </c>
      <c r="P4" s="14">
        <f t="shared" si="6"/>
        <v>10</v>
      </c>
      <c r="S4" s="21" t="str">
        <f t="shared" si="7"/>
        <v>SPARTA GRODZISK MAZ. 3</v>
      </c>
      <c r="T4" s="16" cm="1">
        <f t="array" ref="T4">SUM((home=S4)*(ISNUMBER(homescore)),(visitor=S4)*(ISNUMBER(visitorscore)))</f>
        <v>7</v>
      </c>
      <c r="U4" s="3">
        <f t="array" ref="U4">SUM((home=S4)*(homescore&gt;visitorscore),(visitor=S4)*(visitorscore&gt;homescore))</f>
        <v>6</v>
      </c>
      <c r="V4" s="3">
        <f t="array" ref="V4">SUM((home=S4)*(homescore&lt;visitorscore),(visitor=S4)*(visitorscore&lt;homescore))</f>
        <v>1</v>
      </c>
      <c r="W4" s="17">
        <f t="shared" ref="W4" si="10">SUMIF(home,S4,homescore)+SUMIF(visitor,S4,visitorscore)</f>
        <v>76</v>
      </c>
      <c r="X4" s="18">
        <f t="shared" ref="X4" si="11">SUMIF(home,S4,visitorscore)+SUMIF(visitor,S4,homescore)</f>
        <v>41</v>
      </c>
      <c r="Y4" s="3">
        <f t="shared" ref="Y4:Y10" si="12">W4-X4</f>
        <v>35</v>
      </c>
      <c r="Z4" s="29">
        <f t="shared" ref="Z4:Z10" si="13">IF(X4&gt;0,W4/X4,0)</f>
        <v>1.8536585365853659</v>
      </c>
      <c r="AA4" s="17">
        <f t="shared" ref="AA4:AA10" si="14">2*U4</f>
        <v>12</v>
      </c>
      <c r="AB4" s="19">
        <f t="shared" ref="AB4:AB10" si="15">W4+Z4*1000+Y4*10000+AA4*100000000</f>
        <v>1200351929.6585367</v>
      </c>
    </row>
    <row r="5" spans="1:28">
      <c r="A5" s="20" t="s">
        <v>33</v>
      </c>
      <c r="H5" s="12" t="str" cm="1">
        <f t="array" ref="H5">INDEX($S$3:$S$10,MATCH(LARGE($AB$3:$AB$10-ROW($AB$3:$AB$10)/COUNT($AB$3:$AB$10),ROW(H5)-ROW(H$3)+1),$AB$3:$AB$10-ROW($AB$3:$AB$10)/COUNT($AB$3:$AB$10),0))</f>
        <v>UKS LESZNOWOLA 9</v>
      </c>
      <c r="I5" s="13">
        <f t="shared" si="0"/>
        <v>7</v>
      </c>
      <c r="J5" s="13">
        <f t="shared" si="1"/>
        <v>5</v>
      </c>
      <c r="K5" s="13">
        <f t="shared" si="2"/>
        <v>2</v>
      </c>
      <c r="L5" s="13">
        <f t="shared" si="3"/>
        <v>70</v>
      </c>
      <c r="M5" s="13">
        <f t="shared" si="4"/>
        <v>56</v>
      </c>
      <c r="N5" s="13">
        <f t="shared" si="5"/>
        <v>14</v>
      </c>
      <c r="O5" s="27">
        <f>IF(Tabela13456[[#This Row],[STRACONE]]=0,0,Tabela13456[[#This Row],[ZDOBYTE]]/Tabela13456[[#This Row],[STRACONE]])</f>
        <v>1.25</v>
      </c>
      <c r="P5" s="14">
        <f t="shared" si="6"/>
        <v>10</v>
      </c>
      <c r="S5" s="21" t="str">
        <f t="shared" si="7"/>
        <v>MUKS KRÓTKA 5</v>
      </c>
      <c r="T5" s="16" cm="1">
        <f t="array" ref="T5">SUM((home=S5)*(ISNUMBER(homescore)),(visitor=S5)*(ISNUMBER(visitorscore)))</f>
        <v>7</v>
      </c>
      <c r="U5" s="3">
        <f t="array" ref="U5">SUM((home=S5)*(homescore&gt;visitorscore),(visitor=S5)*(visitorscore&gt;homescore))</f>
        <v>2</v>
      </c>
      <c r="V5" s="3">
        <f t="array" ref="V5">SUM((home=S5)*(homescore&lt;visitorscore),(visitor=S5)*(visitorscore&lt;homescore))</f>
        <v>5</v>
      </c>
      <c r="W5" s="17">
        <f t="shared" ref="W5" si="16">SUMIF(home,S5,homescore)+SUMIF(visitor,S5,visitorscore)</f>
        <v>63</v>
      </c>
      <c r="X5" s="18">
        <f t="shared" ref="X5" si="17">SUMIF(home,S5,visitorscore)+SUMIF(visitor,S5,homescore)</f>
        <v>63</v>
      </c>
      <c r="Y5" s="3">
        <f t="shared" si="12"/>
        <v>0</v>
      </c>
      <c r="Z5" s="29">
        <f t="shared" si="13"/>
        <v>1</v>
      </c>
      <c r="AA5" s="17">
        <f t="shared" si="14"/>
        <v>4</v>
      </c>
      <c r="AB5" s="19">
        <f t="shared" si="15"/>
        <v>400001063</v>
      </c>
    </row>
    <row r="6" spans="1:28">
      <c r="A6" s="20" t="s">
        <v>34</v>
      </c>
      <c r="H6" s="12" t="str" cm="1">
        <f t="array" ref="H6">INDEX($S$3:$S$10,MATCH(LARGE($AB$3:$AB$10-ROW($AB$3:$AB$10)/COUNT($AB$3:$AB$10),ROW(H6)-ROW(H$3)+1),$AB$3:$AB$10-ROW($AB$3:$AB$10)/COUNT($AB$3:$AB$10),0))</f>
        <v>OLIMP MIŃSK MAZ. 4</v>
      </c>
      <c r="I6" s="13">
        <f t="shared" si="0"/>
        <v>7</v>
      </c>
      <c r="J6" s="13">
        <f t="shared" si="1"/>
        <v>4</v>
      </c>
      <c r="K6" s="13">
        <f t="shared" si="2"/>
        <v>3</v>
      </c>
      <c r="L6" s="13">
        <f t="shared" si="3"/>
        <v>73</v>
      </c>
      <c r="M6" s="13">
        <f t="shared" si="4"/>
        <v>55</v>
      </c>
      <c r="N6" s="13">
        <f t="shared" si="5"/>
        <v>18</v>
      </c>
      <c r="O6" s="27">
        <f>IF(Tabela13456[[#This Row],[STRACONE]]=0,0,Tabela13456[[#This Row],[ZDOBYTE]]/Tabela13456[[#This Row],[STRACONE]])</f>
        <v>1.3272727272727274</v>
      </c>
      <c r="P6" s="14">
        <f t="shared" si="6"/>
        <v>8</v>
      </c>
      <c r="S6" s="21" t="str">
        <f t="shared" si="7"/>
        <v>OLIMP MIŃSK MAZ. 4</v>
      </c>
      <c r="T6" s="16" cm="1">
        <f t="array" ref="T6">SUM((home=S6)*(ISNUMBER(homescore)),(visitor=S6)*(ISNUMBER(visitorscore)))</f>
        <v>7</v>
      </c>
      <c r="U6" s="3">
        <f t="array" ref="U6">SUM((home=S6)*(homescore&gt;visitorscore),(visitor=S6)*(visitorscore&gt;homescore))</f>
        <v>4</v>
      </c>
      <c r="V6" s="3">
        <f t="array" ref="V6">SUM((home=S6)*(homescore&lt;visitorscore),(visitor=S6)*(visitorscore&lt;homescore))</f>
        <v>3</v>
      </c>
      <c r="W6" s="17">
        <f t="shared" ref="W6" si="18">SUMIF(home,S6,homescore)+SUMIF(visitor,S6,visitorscore)</f>
        <v>73</v>
      </c>
      <c r="X6" s="18">
        <f t="shared" ref="X6" si="19">SUMIF(home,S6,visitorscore)+SUMIF(visitor,S6,homescore)</f>
        <v>55</v>
      </c>
      <c r="Y6" s="3">
        <f t="shared" si="12"/>
        <v>18</v>
      </c>
      <c r="Z6" s="29">
        <f t="shared" si="13"/>
        <v>1.3272727272727274</v>
      </c>
      <c r="AA6" s="17">
        <f t="shared" si="14"/>
        <v>8</v>
      </c>
      <c r="AB6" s="19">
        <f t="shared" si="15"/>
        <v>800181400.27272725</v>
      </c>
    </row>
    <row r="7" spans="1:28">
      <c r="A7" s="20" t="s">
        <v>35</v>
      </c>
      <c r="H7" s="22" t="str" cm="1">
        <f t="array" ref="H7">INDEX($S$3:$S$10,MATCH(LARGE($AB$3:$AB$10-ROW($AB$3:$AB$10)/COUNT($AB$3:$AB$10),ROW(H7)-ROW(H$3)+1),$AB$3:$AB$10-ROW($AB$3:$AB$10)/COUNT($AB$3:$AB$10),0))</f>
        <v>PRASKA 30 3</v>
      </c>
      <c r="I7" s="23">
        <f t="shared" si="0"/>
        <v>7</v>
      </c>
      <c r="J7" s="23">
        <f t="shared" si="1"/>
        <v>3</v>
      </c>
      <c r="K7" s="23">
        <f t="shared" si="2"/>
        <v>4</v>
      </c>
      <c r="L7" s="23">
        <f t="shared" si="3"/>
        <v>57</v>
      </c>
      <c r="M7" s="23">
        <f t="shared" si="4"/>
        <v>60</v>
      </c>
      <c r="N7" s="23">
        <f t="shared" si="5"/>
        <v>-3</v>
      </c>
      <c r="O7" s="27">
        <f>IF(Tabela13456[[#This Row],[STRACONE]]=0,0,Tabela13456[[#This Row],[ZDOBYTE]]/Tabela13456[[#This Row],[STRACONE]])</f>
        <v>0.95</v>
      </c>
      <c r="P7" s="24">
        <f t="shared" si="6"/>
        <v>6</v>
      </c>
      <c r="S7" s="21" t="str">
        <f t="shared" si="7"/>
        <v>UKS LESZNOWOLA 9</v>
      </c>
      <c r="T7" s="16" cm="1">
        <f t="array" ref="T7">SUM((home=S7)*(ISNUMBER(homescore)),(visitor=S7)*(ISNUMBER(visitorscore)))</f>
        <v>7</v>
      </c>
      <c r="U7" s="3">
        <f t="array" ref="U7">SUM((home=S7)*(homescore&gt;visitorscore),(visitor=S7)*(visitorscore&gt;homescore))</f>
        <v>5</v>
      </c>
      <c r="V7" s="3">
        <f t="array" ref="V7">SUM((home=S7)*(homescore&lt;visitorscore),(visitor=S7)*(visitorscore&lt;homescore))</f>
        <v>2</v>
      </c>
      <c r="W7" s="17">
        <f t="shared" ref="W7" si="20">SUMIF(home,S7,homescore)+SUMIF(visitor,S7,visitorscore)</f>
        <v>70</v>
      </c>
      <c r="X7" s="18">
        <f t="shared" ref="X7" si="21">SUMIF(home,S7,visitorscore)+SUMIF(visitor,S7,homescore)</f>
        <v>56</v>
      </c>
      <c r="Y7" s="3">
        <f t="shared" si="12"/>
        <v>14</v>
      </c>
      <c r="Z7" s="29">
        <f t="shared" si="13"/>
        <v>1.25</v>
      </c>
      <c r="AA7" s="17">
        <f t="shared" si="14"/>
        <v>10</v>
      </c>
      <c r="AB7" s="19">
        <f t="shared" si="15"/>
        <v>1000141320</v>
      </c>
    </row>
    <row r="8" spans="1:28">
      <c r="A8" s="20" t="s">
        <v>36</v>
      </c>
      <c r="H8" s="22" t="str" cm="1">
        <f t="array" ref="H8">INDEX($S$3:$S$10,MATCH(LARGE($AB$3:$AB$10-ROW($AB$3:$AB$10)/COUNT($AB$3:$AB$10),ROW(H8)-ROW(H$3)+1),$AB$3:$AB$10-ROW($AB$3:$AB$10)/COUNT($AB$3:$AB$10),0))</f>
        <v>VICTORIA LUBOWIDZ 3</v>
      </c>
      <c r="I8" s="23">
        <f t="shared" si="0"/>
        <v>7</v>
      </c>
      <c r="J8" s="23">
        <f t="shared" si="1"/>
        <v>3</v>
      </c>
      <c r="K8" s="23">
        <f t="shared" si="2"/>
        <v>4</v>
      </c>
      <c r="L8" s="23">
        <f t="shared" si="3"/>
        <v>57</v>
      </c>
      <c r="M8" s="23">
        <f t="shared" si="4"/>
        <v>63</v>
      </c>
      <c r="N8" s="23">
        <f t="shared" si="5"/>
        <v>-6</v>
      </c>
      <c r="O8" s="27">
        <f>IF(Tabela13456[[#This Row],[STRACONE]]=0,0,Tabela13456[[#This Row],[ZDOBYTE]]/Tabela13456[[#This Row],[STRACONE]])</f>
        <v>0.90476190476190477</v>
      </c>
      <c r="P8" s="24">
        <f t="shared" si="6"/>
        <v>6</v>
      </c>
      <c r="S8" s="21" t="str">
        <f t="shared" si="7"/>
        <v>VICTORIA LUBOWIDZ 3</v>
      </c>
      <c r="T8" s="16" cm="1">
        <f t="array" ref="T8">SUM((home=S8)*(ISNUMBER(homescore)),(visitor=S8)*(ISNUMBER(visitorscore)))</f>
        <v>7</v>
      </c>
      <c r="U8" s="3">
        <f t="array" ref="U8">SUM((home=S8)*(homescore&gt;visitorscore),(visitor=S8)*(visitorscore&gt;homescore))</f>
        <v>3</v>
      </c>
      <c r="V8" s="3">
        <f t="array" ref="V8">SUM((home=S8)*(homescore&lt;visitorscore),(visitor=S8)*(visitorscore&lt;homescore))</f>
        <v>4</v>
      </c>
      <c r="W8" s="17">
        <f t="shared" ref="W8" si="22">SUMIF(home,S8,homescore)+SUMIF(visitor,S8,visitorscore)</f>
        <v>57</v>
      </c>
      <c r="X8" s="18">
        <f t="shared" ref="X8" si="23">SUMIF(home,S8,visitorscore)+SUMIF(visitor,S8,homescore)</f>
        <v>63</v>
      </c>
      <c r="Y8" s="3">
        <f t="shared" si="12"/>
        <v>-6</v>
      </c>
      <c r="Z8" s="29">
        <f t="shared" si="13"/>
        <v>0.90476190476190477</v>
      </c>
      <c r="AA8" s="17">
        <f t="shared" si="14"/>
        <v>6</v>
      </c>
      <c r="AB8" s="19">
        <f t="shared" si="15"/>
        <v>599940961.76190472</v>
      </c>
    </row>
    <row r="9" spans="1:28">
      <c r="A9" s="20" t="s">
        <v>37</v>
      </c>
      <c r="H9" s="22" t="str" cm="1">
        <f t="array" ref="H9">INDEX($S$3:$S$10,MATCH(LARGE($AB$3:$AB$10-ROW($AB$3:$AB$10)/COUNT($AB$3:$AB$10),ROW(H9)-ROW(H$3)+1),$AB$3:$AB$10-ROW($AB$3:$AB$10)/COUNT($AB$3:$AB$10),0))</f>
        <v>MUKS KRÓTKA 5</v>
      </c>
      <c r="I9" s="23">
        <f t="shared" si="0"/>
        <v>7</v>
      </c>
      <c r="J9" s="23">
        <f t="shared" si="1"/>
        <v>2</v>
      </c>
      <c r="K9" s="23">
        <f t="shared" si="2"/>
        <v>5</v>
      </c>
      <c r="L9" s="23">
        <f t="shared" si="3"/>
        <v>63</v>
      </c>
      <c r="M9" s="23">
        <f t="shared" si="4"/>
        <v>63</v>
      </c>
      <c r="N9" s="23">
        <f t="shared" si="5"/>
        <v>0</v>
      </c>
      <c r="O9" s="27">
        <f>IF(Tabela13456[[#This Row],[STRACONE]]=0,0,Tabela13456[[#This Row],[ZDOBYTE]]/Tabela13456[[#This Row],[STRACONE]])</f>
        <v>1</v>
      </c>
      <c r="P9" s="24">
        <f t="shared" si="6"/>
        <v>4</v>
      </c>
      <c r="S9" s="21" t="str">
        <f t="shared" si="7"/>
        <v>PRASKA 30 3</v>
      </c>
      <c r="T9" s="16" cm="1">
        <f t="array" ref="T9">SUM((home=S9)*(ISNUMBER(homescore)),(visitor=S9)*(ISNUMBER(visitorscore)))</f>
        <v>7</v>
      </c>
      <c r="U9" s="3">
        <f t="array" ref="U9">SUM((home=S9)*(homescore&gt;visitorscore),(visitor=S9)*(visitorscore&gt;homescore))</f>
        <v>3</v>
      </c>
      <c r="V9" s="3">
        <f t="array" ref="V9">SUM((home=S9)*(homescore&lt;visitorscore),(visitor=S9)*(visitorscore&lt;homescore))</f>
        <v>4</v>
      </c>
      <c r="W9" s="17">
        <f t="shared" ref="W9" si="24">SUMIF(home,S9,homescore)+SUMIF(visitor,S9,visitorscore)</f>
        <v>57</v>
      </c>
      <c r="X9" s="18">
        <f t="shared" ref="X9" si="25">SUMIF(home,S9,visitorscore)+SUMIF(visitor,S9,homescore)</f>
        <v>60</v>
      </c>
      <c r="Y9" s="3">
        <f t="shared" si="12"/>
        <v>-3</v>
      </c>
      <c r="Z9" s="29">
        <f t="shared" si="13"/>
        <v>0.95</v>
      </c>
      <c r="AA9" s="17">
        <f t="shared" si="14"/>
        <v>6</v>
      </c>
      <c r="AB9" s="19">
        <f t="shared" si="15"/>
        <v>599971007</v>
      </c>
    </row>
    <row r="10" spans="1:28">
      <c r="A10" s="20" t="s">
        <v>38</v>
      </c>
      <c r="H10" s="22" t="str" cm="1">
        <f t="array" ref="H10">INDEX($S$3:$S$10,MATCH(LARGE($AB$3:$AB$10-ROW($AB$3:$AB$10)/COUNT($AB$3:$AB$10),ROW(H10)-ROW(H$3)+1),$AB$3:$AB$10-ROW($AB$3:$AB$10)/COUNT($AB$3:$AB$10),0))</f>
        <v>LOS NOWY DWÓR MAZ. 1</v>
      </c>
      <c r="I10" s="23">
        <f t="shared" si="0"/>
        <v>7</v>
      </c>
      <c r="J10" s="23">
        <f t="shared" si="1"/>
        <v>0</v>
      </c>
      <c r="K10" s="23">
        <f t="shared" si="2"/>
        <v>7</v>
      </c>
      <c r="L10" s="23">
        <f t="shared" si="3"/>
        <v>0</v>
      </c>
      <c r="M10" s="23">
        <f t="shared" si="4"/>
        <v>77</v>
      </c>
      <c r="N10" s="23">
        <f t="shared" si="5"/>
        <v>-77</v>
      </c>
      <c r="O10" s="27">
        <f>IF(Tabela13456[[#This Row],[STRACONE]]=0,0,Tabela13456[[#This Row],[ZDOBYTE]]/Tabela13456[[#This Row],[STRACONE]])</f>
        <v>0</v>
      </c>
      <c r="P10" s="24">
        <f t="shared" si="6"/>
        <v>0</v>
      </c>
      <c r="S10" s="21" t="str">
        <f t="shared" si="7"/>
        <v>LOS NOWY DWÓR MAZ. 1</v>
      </c>
      <c r="T10" s="16" cm="1">
        <f t="array" ref="T10">SUM((home=S10)*(ISNUMBER(homescore)),(visitor=S10)*(ISNUMBER(visitorscore)))</f>
        <v>7</v>
      </c>
      <c r="U10" s="3">
        <f t="array" ref="U10">SUM((home=S10)*(homescore&gt;visitorscore),(visitor=S10)*(visitorscore&gt;homescore))</f>
        <v>0</v>
      </c>
      <c r="V10" s="3">
        <f t="array" ref="V10">SUM((home=S10)*(homescore&lt;visitorscore),(visitor=S10)*(visitorscore&lt;homescore))</f>
        <v>7</v>
      </c>
      <c r="W10" s="17">
        <f t="shared" ref="W10" si="26">SUMIF(home,S10,homescore)+SUMIF(visitor,S10,visitorscore)</f>
        <v>0</v>
      </c>
      <c r="X10" s="18">
        <f t="shared" ref="X10" si="27">SUMIF(home,S10,visitorscore)+SUMIF(visitor,S10,homescore)</f>
        <v>77</v>
      </c>
      <c r="Y10" s="3">
        <f t="shared" si="12"/>
        <v>-77</v>
      </c>
      <c r="Z10" s="29">
        <f t="shared" si="13"/>
        <v>0</v>
      </c>
      <c r="AA10" s="17">
        <f t="shared" si="14"/>
        <v>0</v>
      </c>
      <c r="AB10" s="19">
        <f t="shared" si="15"/>
        <v>-770000</v>
      </c>
    </row>
    <row r="11" spans="1:28">
      <c r="A11" s="20" t="s">
        <v>39</v>
      </c>
    </row>
    <row r="14" spans="1:28">
      <c r="A14" s="10" t="s">
        <v>27</v>
      </c>
      <c r="B14" s="10" t="s">
        <v>28</v>
      </c>
      <c r="H14" s="25"/>
    </row>
    <row r="15" spans="1:28">
      <c r="A15" s="26" t="str">
        <f>A4</f>
        <v>ORLĘTA RASZYN 4</v>
      </c>
      <c r="B15" s="26" t="str">
        <f>A11</f>
        <v>LOS NOWY DWÓR MAZ. 1</v>
      </c>
      <c r="C15" s="13">
        <v>11</v>
      </c>
      <c r="D15" s="13" t="s">
        <v>29</v>
      </c>
      <c r="E15" s="13">
        <v>0</v>
      </c>
      <c r="F15" s="3"/>
    </row>
    <row r="16" spans="1:28">
      <c r="A16" s="26" t="str">
        <f>A5</f>
        <v>SPARTA GRODZISK MAZ. 3</v>
      </c>
      <c r="B16" s="26" t="str">
        <f>A10</f>
        <v>PRASKA 30 3</v>
      </c>
      <c r="C16" s="13">
        <v>11</v>
      </c>
      <c r="D16" s="13" t="s">
        <v>29</v>
      </c>
      <c r="E16" s="13">
        <v>3</v>
      </c>
      <c r="F16" s="3"/>
    </row>
    <row r="17" spans="1:29">
      <c r="A17" s="26" t="str">
        <f>A6</f>
        <v>MUKS KRÓTKA 5</v>
      </c>
      <c r="B17" s="26" t="str">
        <f>A9</f>
        <v>VICTORIA LUBOWIDZ 3</v>
      </c>
      <c r="C17" s="13">
        <v>10</v>
      </c>
      <c r="D17" s="13" t="s">
        <v>29</v>
      </c>
      <c r="E17" s="13">
        <v>11</v>
      </c>
      <c r="F17" s="3"/>
    </row>
    <row r="18" spans="1:29">
      <c r="A18" s="26" t="str">
        <f>A7</f>
        <v>OLIMP MIŃSK MAZ. 4</v>
      </c>
      <c r="B18" s="26" t="str">
        <f>A8</f>
        <v>UKS LESZNOWOLA 9</v>
      </c>
      <c r="C18" s="13">
        <v>10</v>
      </c>
      <c r="D18" s="13" t="s">
        <v>29</v>
      </c>
      <c r="E18" s="13">
        <v>11</v>
      </c>
      <c r="F18" s="3"/>
    </row>
    <row r="19" spans="1:29">
      <c r="A19" s="26" t="str">
        <f>A11</f>
        <v>LOS NOWY DWÓR MAZ. 1</v>
      </c>
      <c r="B19" s="26" t="str">
        <f>A8</f>
        <v>UKS LESZNOWOLA 9</v>
      </c>
      <c r="C19" s="13">
        <v>0</v>
      </c>
      <c r="D19" s="13" t="s">
        <v>29</v>
      </c>
      <c r="E19" s="13">
        <v>11</v>
      </c>
      <c r="F19" s="3" t="s">
        <v>30</v>
      </c>
    </row>
    <row r="20" spans="1:29" s="3" customFormat="1">
      <c r="A20" s="26" t="str">
        <f>A9</f>
        <v>VICTORIA LUBOWIDZ 3</v>
      </c>
      <c r="B20" s="26" t="str">
        <f>A7</f>
        <v>OLIMP MIŃSK MAZ. 4</v>
      </c>
      <c r="C20" s="13">
        <v>11</v>
      </c>
      <c r="D20" s="13" t="s">
        <v>29</v>
      </c>
      <c r="E20" s="13">
        <v>9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3" customFormat="1">
      <c r="A21" s="26" t="str">
        <f>A10</f>
        <v>PRASKA 30 3</v>
      </c>
      <c r="B21" s="26" t="str">
        <f>A6</f>
        <v>MUKS KRÓTKA 5</v>
      </c>
      <c r="C21" s="13">
        <v>8</v>
      </c>
      <c r="D21" s="13" t="s">
        <v>29</v>
      </c>
      <c r="E21" s="13">
        <v>11</v>
      </c>
      <c r="F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3" customFormat="1">
      <c r="A22" s="26" t="str">
        <f>A4</f>
        <v>ORLĘTA RASZYN 4</v>
      </c>
      <c r="B22" s="26" t="str">
        <f>A5</f>
        <v>SPARTA GRODZISK MAZ. 3</v>
      </c>
      <c r="C22" s="13">
        <v>7</v>
      </c>
      <c r="D22" s="13" t="s">
        <v>29</v>
      </c>
      <c r="E22" s="13">
        <v>11</v>
      </c>
      <c r="F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3" customFormat="1">
      <c r="A23" s="26" t="str">
        <f>A5</f>
        <v>SPARTA GRODZISK MAZ. 3</v>
      </c>
      <c r="B23" s="26" t="str">
        <f>A11</f>
        <v>LOS NOWY DWÓR MAZ. 1</v>
      </c>
      <c r="C23" s="13">
        <v>11</v>
      </c>
      <c r="D23" s="13" t="s">
        <v>29</v>
      </c>
      <c r="E23" s="13">
        <v>0</v>
      </c>
      <c r="F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3" customFormat="1">
      <c r="A24" s="26" t="str">
        <f>A6</f>
        <v>MUKS KRÓTKA 5</v>
      </c>
      <c r="B24" s="26" t="str">
        <f>A4</f>
        <v>ORLĘTA RASZYN 4</v>
      </c>
      <c r="C24" s="13">
        <v>10</v>
      </c>
      <c r="D24" s="13" t="s">
        <v>29</v>
      </c>
      <c r="E24" s="13">
        <v>11</v>
      </c>
      <c r="F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26" t="str">
        <f>A7</f>
        <v>OLIMP MIŃSK MAZ. 4</v>
      </c>
      <c r="B25" s="26" t="str">
        <f>A10</f>
        <v>PRASKA 30 3</v>
      </c>
      <c r="C25" s="13">
        <v>10</v>
      </c>
      <c r="D25" s="13" t="s">
        <v>29</v>
      </c>
      <c r="E25" s="13">
        <v>11</v>
      </c>
    </row>
    <row r="26" spans="1:29">
      <c r="A26" s="26" t="str">
        <f>A8</f>
        <v>UKS LESZNOWOLA 9</v>
      </c>
      <c r="B26" s="26" t="str">
        <f>A9</f>
        <v>VICTORIA LUBOWIDZ 3</v>
      </c>
      <c r="C26" s="13">
        <v>11</v>
      </c>
      <c r="D26" s="13" t="s">
        <v>29</v>
      </c>
      <c r="E26" s="13">
        <v>8</v>
      </c>
    </row>
    <row r="27" spans="1:29">
      <c r="A27" s="26" t="str">
        <f>A11</f>
        <v>LOS NOWY DWÓR MAZ. 1</v>
      </c>
      <c r="B27" s="26" t="str">
        <f>A9</f>
        <v>VICTORIA LUBOWIDZ 3</v>
      </c>
      <c r="C27" s="13">
        <v>0</v>
      </c>
      <c r="D27" s="13" t="s">
        <v>29</v>
      </c>
      <c r="E27" s="13">
        <v>11</v>
      </c>
    </row>
    <row r="28" spans="1:29">
      <c r="A28" s="26" t="str">
        <f>A10</f>
        <v>PRASKA 30 3</v>
      </c>
      <c r="B28" s="26" t="str">
        <f>A8</f>
        <v>UKS LESZNOWOLA 9</v>
      </c>
      <c r="C28" s="13">
        <v>7</v>
      </c>
      <c r="D28" s="13" t="s">
        <v>29</v>
      </c>
      <c r="E28" s="13">
        <v>11</v>
      </c>
    </row>
    <row r="29" spans="1:29">
      <c r="A29" s="26" t="str">
        <f t="shared" ref="A29:A34" si="28">A4</f>
        <v>ORLĘTA RASZYN 4</v>
      </c>
      <c r="B29" s="26" t="str">
        <f>A7</f>
        <v>OLIMP MIŃSK MAZ. 4</v>
      </c>
      <c r="C29" s="13">
        <v>8</v>
      </c>
      <c r="D29" s="13" t="s">
        <v>29</v>
      </c>
      <c r="E29" s="13">
        <v>11</v>
      </c>
    </row>
    <row r="30" spans="1:29">
      <c r="A30" s="26" t="str">
        <f t="shared" si="28"/>
        <v>SPARTA GRODZISK MAZ. 3</v>
      </c>
      <c r="B30" s="26" t="str">
        <f>A6</f>
        <v>MUKS KRÓTKA 5</v>
      </c>
      <c r="C30" s="13">
        <v>11</v>
      </c>
      <c r="D30" s="13" t="s">
        <v>29</v>
      </c>
      <c r="E30" s="13">
        <v>8</v>
      </c>
    </row>
    <row r="31" spans="1:29">
      <c r="A31" s="26" t="str">
        <f t="shared" si="28"/>
        <v>MUKS KRÓTKA 5</v>
      </c>
      <c r="B31" s="26" t="str">
        <f>A11</f>
        <v>LOS NOWY DWÓR MAZ. 1</v>
      </c>
      <c r="C31" s="13">
        <v>11</v>
      </c>
      <c r="D31" s="13" t="s">
        <v>29</v>
      </c>
      <c r="E31" s="13">
        <v>0</v>
      </c>
    </row>
    <row r="32" spans="1:29">
      <c r="A32" s="26" t="str">
        <f t="shared" si="28"/>
        <v>OLIMP MIŃSK MAZ. 4</v>
      </c>
      <c r="B32" s="26" t="str">
        <f>A5</f>
        <v>SPARTA GRODZISK MAZ. 3</v>
      </c>
      <c r="C32" s="13">
        <v>11</v>
      </c>
      <c r="D32" s="13" t="s">
        <v>29</v>
      </c>
      <c r="E32" s="13">
        <v>10</v>
      </c>
    </row>
    <row r="33" spans="1:5">
      <c r="A33" s="26" t="str">
        <f t="shared" si="28"/>
        <v>UKS LESZNOWOLA 9</v>
      </c>
      <c r="B33" s="26" t="str">
        <f>A4</f>
        <v>ORLĘTA RASZYN 4</v>
      </c>
      <c r="C33" s="13">
        <v>9</v>
      </c>
      <c r="D33" s="13" t="s">
        <v>29</v>
      </c>
      <c r="E33" s="13">
        <v>11</v>
      </c>
    </row>
    <row r="34" spans="1:5">
      <c r="A34" s="26" t="str">
        <f t="shared" si="28"/>
        <v>VICTORIA LUBOWIDZ 3</v>
      </c>
      <c r="B34" s="26" t="str">
        <f>A10</f>
        <v>PRASKA 30 3</v>
      </c>
      <c r="C34" s="13">
        <v>6</v>
      </c>
      <c r="D34" s="13" t="s">
        <v>29</v>
      </c>
      <c r="E34" s="13">
        <v>11</v>
      </c>
    </row>
    <row r="35" spans="1:5">
      <c r="A35" s="26" t="str">
        <f>A11</f>
        <v>LOS NOWY DWÓR MAZ. 1</v>
      </c>
      <c r="B35" s="26" t="str">
        <f>A10</f>
        <v>PRASKA 30 3</v>
      </c>
      <c r="C35" s="13">
        <v>0</v>
      </c>
      <c r="D35" s="13" t="s">
        <v>29</v>
      </c>
      <c r="E35" s="13">
        <v>11</v>
      </c>
    </row>
    <row r="36" spans="1:5">
      <c r="A36" s="26" t="str">
        <f t="shared" ref="A36:A42" si="29">A4</f>
        <v>ORLĘTA RASZYN 4</v>
      </c>
      <c r="B36" s="26" t="str">
        <f>A9</f>
        <v>VICTORIA LUBOWIDZ 3</v>
      </c>
      <c r="C36" s="13">
        <v>11</v>
      </c>
      <c r="D36" s="13" t="s">
        <v>29</v>
      </c>
      <c r="E36" s="13">
        <v>4</v>
      </c>
    </row>
    <row r="37" spans="1:5">
      <c r="A37" s="26" t="str">
        <f t="shared" si="29"/>
        <v>SPARTA GRODZISK MAZ. 3</v>
      </c>
      <c r="B37" s="26" t="str">
        <f>A8</f>
        <v>UKS LESZNOWOLA 9</v>
      </c>
      <c r="C37" s="13">
        <v>11</v>
      </c>
      <c r="D37" s="13" t="s">
        <v>29</v>
      </c>
      <c r="E37" s="13">
        <v>6</v>
      </c>
    </row>
    <row r="38" spans="1:5">
      <c r="A38" s="26" t="str">
        <f t="shared" si="29"/>
        <v>MUKS KRÓTKA 5</v>
      </c>
      <c r="B38" s="26" t="str">
        <f>A7</f>
        <v>OLIMP MIŃSK MAZ. 4</v>
      </c>
      <c r="C38" s="13">
        <v>4</v>
      </c>
      <c r="D38" s="13" t="s">
        <v>29</v>
      </c>
      <c r="E38" s="13">
        <v>11</v>
      </c>
    </row>
    <row r="39" spans="1:5">
      <c r="A39" s="26" t="str">
        <f t="shared" si="29"/>
        <v>OLIMP MIŃSK MAZ. 4</v>
      </c>
      <c r="B39" s="26" t="str">
        <f>A11</f>
        <v>LOS NOWY DWÓR MAZ. 1</v>
      </c>
      <c r="C39" s="13">
        <v>11</v>
      </c>
      <c r="D39" s="13" t="s">
        <v>29</v>
      </c>
      <c r="E39" s="13">
        <v>0</v>
      </c>
    </row>
    <row r="40" spans="1:5">
      <c r="A40" s="26" t="str">
        <f t="shared" si="29"/>
        <v>UKS LESZNOWOLA 9</v>
      </c>
      <c r="B40" s="26" t="str">
        <f>A6</f>
        <v>MUKS KRÓTKA 5</v>
      </c>
      <c r="C40" s="13">
        <v>11</v>
      </c>
      <c r="D40" s="13" t="s">
        <v>29</v>
      </c>
      <c r="E40" s="13">
        <v>9</v>
      </c>
    </row>
    <row r="41" spans="1:5">
      <c r="A41" s="26" t="str">
        <f t="shared" si="29"/>
        <v>VICTORIA LUBOWIDZ 3</v>
      </c>
      <c r="B41" s="26" t="str">
        <f>A5</f>
        <v>SPARTA GRODZISK MAZ. 3</v>
      </c>
      <c r="C41" s="13">
        <v>6</v>
      </c>
      <c r="D41" s="13" t="s">
        <v>29</v>
      </c>
      <c r="E41" s="13">
        <v>11</v>
      </c>
    </row>
    <row r="42" spans="1:5">
      <c r="A42" s="26" t="str">
        <f t="shared" si="29"/>
        <v>PRASKA 30 3</v>
      </c>
      <c r="B42" s="26" t="str">
        <f>A4</f>
        <v>ORLĘTA RASZYN 4</v>
      </c>
      <c r="C42" s="13">
        <v>6</v>
      </c>
      <c r="D42" s="13" t="s">
        <v>29</v>
      </c>
      <c r="E42" s="13">
        <v>11</v>
      </c>
    </row>
  </sheetData>
  <autoFilter ref="A14:B42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541F-68D7-4964-A204-DD8A5E87C4B4}">
  <dimension ref="A1:AC42"/>
  <sheetViews>
    <sheetView workbookViewId="0">
      <selection activeCell="F28" sqref="F28"/>
    </sheetView>
  </sheetViews>
  <sheetFormatPr defaultColWidth="8.85546875" defaultRowHeight="15"/>
  <cols>
    <col min="1" max="1" width="24.42578125" style="2" bestFit="1" customWidth="1"/>
    <col min="2" max="2" width="24" style="2" bestFit="1" customWidth="1"/>
    <col min="3" max="5" width="3.85546875" style="2" customWidth="1"/>
    <col min="6" max="6" width="8.28515625" style="2" customWidth="1"/>
    <col min="7" max="7" width="8.28515625" style="3" customWidth="1"/>
    <col min="8" max="8" width="24.42578125" style="3" bestFit="1" customWidth="1"/>
    <col min="9" max="9" width="11.7109375" style="3" customWidth="1"/>
    <col min="10" max="16" width="11.7109375" style="2" customWidth="1"/>
    <col min="17" max="17" width="11.42578125" style="2" customWidth="1"/>
    <col min="18" max="18" width="8.85546875" style="2" hidden="1" customWidth="1"/>
    <col min="19" max="26" width="9.140625" style="2" hidden="1" customWidth="1"/>
    <col min="27" max="27" width="4.140625" style="2" hidden="1" customWidth="1"/>
    <col min="28" max="28" width="9.140625" style="2" hidden="1" customWidth="1"/>
    <col min="29" max="29" width="8.85546875" style="2" hidden="1" customWidth="1"/>
    <col min="30" max="16384" width="8.85546875" style="2"/>
  </cols>
  <sheetData>
    <row r="1" spans="1:28" ht="28.5">
      <c r="A1" s="1" t="s">
        <v>40</v>
      </c>
      <c r="S1" s="80" t="s">
        <v>1</v>
      </c>
      <c r="T1" s="2" t="b">
        <f>ROWS(homescore)-COUNT(homescore)=0</f>
        <v>1</v>
      </c>
      <c r="U1" s="80" t="s">
        <v>2</v>
      </c>
      <c r="V1" s="2">
        <f>ROWS(homescore)-COUNTA(homescore)</f>
        <v>0</v>
      </c>
    </row>
    <row r="2" spans="1:28">
      <c r="H2" s="4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6" t="s">
        <v>10</v>
      </c>
      <c r="P2" s="6" t="s">
        <v>11</v>
      </c>
      <c r="T2" s="7" t="s">
        <v>4</v>
      </c>
      <c r="U2" s="8" t="s">
        <v>12</v>
      </c>
      <c r="V2" s="8" t="s">
        <v>13</v>
      </c>
      <c r="W2" s="9" t="s">
        <v>14</v>
      </c>
      <c r="X2" s="4" t="s">
        <v>15</v>
      </c>
      <c r="Y2" s="8" t="s">
        <v>16</v>
      </c>
      <c r="Z2" s="28" t="s">
        <v>17</v>
      </c>
      <c r="AA2" s="9" t="s">
        <v>13</v>
      </c>
      <c r="AB2" s="9" t="s">
        <v>18</v>
      </c>
    </row>
    <row r="3" spans="1:28">
      <c r="A3" s="10" t="s">
        <v>3</v>
      </c>
      <c r="B3" s="11"/>
      <c r="H3" s="12" t="str" cm="1">
        <f t="array" ref="H3">INDEX($S$3:$S$10,MATCH(LARGE($AB$3:$AB$10-ROW($AB$3:$AB$10)/COUNT($AB$3:$AB$10),ROW(H3)-ROW(H$3)+1),$AB$3:$AB$10-ROW($AB$3:$AB$10)/COUNT($AB$3:$AB$10),0))</f>
        <v>GLKS NADARZYN 9</v>
      </c>
      <c r="I3" s="13">
        <f t="shared" ref="I3:I10" si="0">VLOOKUP($H3,$S$3:$AA$10,2,0)</f>
        <v>7</v>
      </c>
      <c r="J3" s="13">
        <f t="shared" ref="J3:J10" si="1">VLOOKUP($H3,$S$3:$AA$10,3,0)</f>
        <v>7</v>
      </c>
      <c r="K3" s="13">
        <f t="shared" ref="K3:K10" si="2">VLOOKUP($H3,$S$3:$AA$10,4,0)</f>
        <v>0</v>
      </c>
      <c r="L3" s="13">
        <f t="shared" ref="L3:L10" si="3">VLOOKUP($H3,$S$3:$AA$10,5,0)</f>
        <v>77</v>
      </c>
      <c r="M3" s="13">
        <f t="shared" ref="M3:M10" si="4">VLOOKUP($H3,$S$3:$AA$10,6,0)</f>
        <v>40</v>
      </c>
      <c r="N3" s="13">
        <f t="shared" ref="N3:N10" si="5">VLOOKUP($H3,$S$3:$AA$10,7,0)</f>
        <v>37</v>
      </c>
      <c r="O3" s="27">
        <f>IF(Tabela1345[[#This Row],[STRACONE]]=0,0,Tabela1345[[#This Row],[ZDOBYTE]]/Tabela1345[[#This Row],[STRACONE]])</f>
        <v>1.925</v>
      </c>
      <c r="P3" s="14">
        <f t="shared" ref="P3:P10" si="6">VLOOKUP($H3,$S$3:$AB$10,9,0)</f>
        <v>14</v>
      </c>
      <c r="S3" s="15" t="str">
        <f t="shared" ref="S3:S10" si="7">A4</f>
        <v>PRASKA 30 4</v>
      </c>
      <c r="T3" s="16" cm="1">
        <f t="array" ref="T3">SUM((home=S3)*(ISNUMBER(homescore)),(visitor=S3)*(ISNUMBER(visitorscore)))</f>
        <v>7</v>
      </c>
      <c r="U3" s="3">
        <f t="array" ref="U3">SUM((home=S3)*(homescore&gt;visitorscore),(visitor=S3)*(visitorscore&gt;homescore))</f>
        <v>3</v>
      </c>
      <c r="V3" s="3">
        <f t="array" ref="V3">SUM((home=S3)*(homescore&lt;visitorscore),(visitor=S3)*(visitorscore&lt;homescore))</f>
        <v>4</v>
      </c>
      <c r="W3" s="17">
        <f t="shared" ref="W3" si="8">SUMIF(home,S3,homescore)+SUMIF(visitor,S3,visitorscore)</f>
        <v>59</v>
      </c>
      <c r="X3" s="18">
        <f t="shared" ref="X3" si="9">SUMIF(home,S3,visitorscore)+SUMIF(visitor,S3,homescore)</f>
        <v>63</v>
      </c>
      <c r="Y3" s="3">
        <f>W3-X3</f>
        <v>-4</v>
      </c>
      <c r="Z3" s="29">
        <f>IF(X3&gt;0,W3/X3,0)</f>
        <v>0.93650793650793651</v>
      </c>
      <c r="AA3" s="17">
        <f>2*U3</f>
        <v>6</v>
      </c>
      <c r="AB3" s="19">
        <f>W3+Z3*1000+Y3*10000+AA3*100000000</f>
        <v>599960995.50793648</v>
      </c>
    </row>
    <row r="4" spans="1:28">
      <c r="A4" s="20" t="s">
        <v>41</v>
      </c>
      <c r="H4" s="12" t="str" cm="1">
        <f t="array" ref="H4">INDEX($S$3:$S$10,MATCH(LARGE($AB$3:$AB$10-ROW($AB$3:$AB$10)/COUNT($AB$3:$AB$10),ROW(H4)-ROW(H$3)+1),$AB$3:$AB$10-ROW($AB$3:$AB$10)/COUNT($AB$3:$AB$10),0))</f>
        <v>SASKA WARSZAWA 3</v>
      </c>
      <c r="I4" s="13">
        <f t="shared" si="0"/>
        <v>7</v>
      </c>
      <c r="J4" s="13">
        <f t="shared" si="1"/>
        <v>5</v>
      </c>
      <c r="K4" s="13">
        <f t="shared" si="2"/>
        <v>2</v>
      </c>
      <c r="L4" s="13">
        <f t="shared" si="3"/>
        <v>70</v>
      </c>
      <c r="M4" s="13">
        <f t="shared" si="4"/>
        <v>49</v>
      </c>
      <c r="N4" s="13">
        <f t="shared" si="5"/>
        <v>21</v>
      </c>
      <c r="O4" s="27">
        <f>IF(Tabela1345[[#This Row],[STRACONE]]=0,0,Tabela1345[[#This Row],[ZDOBYTE]]/Tabela1345[[#This Row],[STRACONE]])</f>
        <v>1.4285714285714286</v>
      </c>
      <c r="P4" s="14">
        <f t="shared" si="6"/>
        <v>10</v>
      </c>
      <c r="S4" s="21" t="str">
        <f t="shared" si="7"/>
        <v>SPARTA GRODZISK MAZ. 2</v>
      </c>
      <c r="T4" s="16" cm="1">
        <f t="array" ref="T4">SUM((home=S4)*(ISNUMBER(homescore)),(visitor=S4)*(ISNUMBER(visitorscore)))</f>
        <v>7</v>
      </c>
      <c r="U4" s="3">
        <f t="array" ref="U4">SUM((home=S4)*(homescore&gt;visitorscore),(visitor=S4)*(visitorscore&gt;homescore))</f>
        <v>5</v>
      </c>
      <c r="V4" s="3">
        <f t="array" ref="V4">SUM((home=S4)*(homescore&lt;visitorscore),(visitor=S4)*(visitorscore&lt;homescore))</f>
        <v>2</v>
      </c>
      <c r="W4" s="17">
        <f t="shared" ref="W4" si="10">SUMIF(home,S4,homescore)+SUMIF(visitor,S4,visitorscore)</f>
        <v>75</v>
      </c>
      <c r="X4" s="18">
        <f t="shared" ref="X4" si="11">SUMIF(home,S4,visitorscore)+SUMIF(visitor,S4,homescore)</f>
        <v>54</v>
      </c>
      <c r="Y4" s="3">
        <f t="shared" ref="Y4:Y10" si="12">W4-X4</f>
        <v>21</v>
      </c>
      <c r="Z4" s="29">
        <f t="shared" ref="Z4:Z10" si="13">IF(X4&gt;0,W4/X4,0)</f>
        <v>1.3888888888888888</v>
      </c>
      <c r="AA4" s="17">
        <f t="shared" ref="AA4:AA10" si="14">2*U4</f>
        <v>10</v>
      </c>
      <c r="AB4" s="19">
        <f t="shared" ref="AB4:AB10" si="15">W4+Z4*1000+Y4*10000+AA4*100000000</f>
        <v>1000211463.8888888</v>
      </c>
    </row>
    <row r="5" spans="1:28">
      <c r="A5" s="20" t="s">
        <v>42</v>
      </c>
      <c r="H5" s="12" t="str" cm="1">
        <f t="array" ref="H5">INDEX($S$3:$S$10,MATCH(LARGE($AB$3:$AB$10-ROW($AB$3:$AB$10)/COUNT($AB$3:$AB$10),ROW(H5)-ROW(H$3)+1),$AB$3:$AB$10-ROW($AB$3:$AB$10)/COUNT($AB$3:$AB$10),0))</f>
        <v>SPARTA GRODZISK MAZ. 2</v>
      </c>
      <c r="I5" s="13">
        <f t="shared" si="0"/>
        <v>7</v>
      </c>
      <c r="J5" s="13">
        <f t="shared" si="1"/>
        <v>5</v>
      </c>
      <c r="K5" s="13">
        <f t="shared" si="2"/>
        <v>2</v>
      </c>
      <c r="L5" s="13">
        <f t="shared" si="3"/>
        <v>75</v>
      </c>
      <c r="M5" s="13">
        <f t="shared" si="4"/>
        <v>54</v>
      </c>
      <c r="N5" s="13">
        <f t="shared" si="5"/>
        <v>21</v>
      </c>
      <c r="O5" s="27">
        <f>IF(Tabela1345[[#This Row],[STRACONE]]=0,0,Tabela1345[[#This Row],[ZDOBYTE]]/Tabela1345[[#This Row],[STRACONE]])</f>
        <v>1.3888888888888888</v>
      </c>
      <c r="P5" s="14">
        <f t="shared" si="6"/>
        <v>10</v>
      </c>
      <c r="S5" s="21" t="str">
        <f t="shared" si="7"/>
        <v>UKS LESZNOWOLA 10</v>
      </c>
      <c r="T5" s="16" cm="1">
        <f t="array" ref="T5">SUM((home=S5)*(ISNUMBER(homescore)),(visitor=S5)*(ISNUMBER(visitorscore)))</f>
        <v>7</v>
      </c>
      <c r="U5" s="3">
        <f t="array" ref="U5">SUM((home=S5)*(homescore&gt;visitorscore),(visitor=S5)*(visitorscore&gt;homescore))</f>
        <v>3</v>
      </c>
      <c r="V5" s="3">
        <f t="array" ref="V5">SUM((home=S5)*(homescore&lt;visitorscore),(visitor=S5)*(visitorscore&lt;homescore))</f>
        <v>4</v>
      </c>
      <c r="W5" s="17">
        <f t="shared" ref="W5" si="16">SUMIF(home,S5,homescore)+SUMIF(visitor,S5,visitorscore)</f>
        <v>51</v>
      </c>
      <c r="X5" s="18">
        <f t="shared" ref="X5" si="17">SUMIF(home,S5,visitorscore)+SUMIF(visitor,S5,homescore)</f>
        <v>68</v>
      </c>
      <c r="Y5" s="3">
        <f t="shared" si="12"/>
        <v>-17</v>
      </c>
      <c r="Z5" s="29">
        <f t="shared" si="13"/>
        <v>0.75</v>
      </c>
      <c r="AA5" s="17">
        <f t="shared" si="14"/>
        <v>6</v>
      </c>
      <c r="AB5" s="19">
        <f t="shared" si="15"/>
        <v>599830801</v>
      </c>
    </row>
    <row r="6" spans="1:28">
      <c r="A6" s="20" t="s">
        <v>43</v>
      </c>
      <c r="H6" s="12" t="str" cm="1">
        <f t="array" ref="H6">INDEX($S$3:$S$10,MATCH(LARGE($AB$3:$AB$10-ROW($AB$3:$AB$10)/COUNT($AB$3:$AB$10),ROW(H6)-ROW(H$3)+1),$AB$3:$AB$10-ROW($AB$3:$AB$10)/COUNT($AB$3:$AB$10),0))</f>
        <v>PRASKA 30 4</v>
      </c>
      <c r="I6" s="13">
        <f t="shared" si="0"/>
        <v>7</v>
      </c>
      <c r="J6" s="13">
        <f t="shared" si="1"/>
        <v>3</v>
      </c>
      <c r="K6" s="13">
        <f t="shared" si="2"/>
        <v>4</v>
      </c>
      <c r="L6" s="13">
        <f t="shared" si="3"/>
        <v>59</v>
      </c>
      <c r="M6" s="13">
        <f t="shared" si="4"/>
        <v>63</v>
      </c>
      <c r="N6" s="13">
        <f t="shared" si="5"/>
        <v>-4</v>
      </c>
      <c r="O6" s="27">
        <f>IF(Tabela1345[[#This Row],[STRACONE]]=0,0,Tabela1345[[#This Row],[ZDOBYTE]]/Tabela1345[[#This Row],[STRACONE]])</f>
        <v>0.93650793650793651</v>
      </c>
      <c r="P6" s="14">
        <f t="shared" si="6"/>
        <v>6</v>
      </c>
      <c r="S6" s="21" t="str">
        <f t="shared" si="7"/>
        <v>SASKA WARSZAWA 3</v>
      </c>
      <c r="T6" s="16" cm="1">
        <f t="array" ref="T6">SUM((home=S6)*(ISNUMBER(homescore)),(visitor=S6)*(ISNUMBER(visitorscore)))</f>
        <v>7</v>
      </c>
      <c r="U6" s="3">
        <f t="array" ref="U6">SUM((home=S6)*(homescore&gt;visitorscore),(visitor=S6)*(visitorscore&gt;homescore))</f>
        <v>5</v>
      </c>
      <c r="V6" s="3">
        <f t="array" ref="V6">SUM((home=S6)*(homescore&lt;visitorscore),(visitor=S6)*(visitorscore&lt;homescore))</f>
        <v>2</v>
      </c>
      <c r="W6" s="17">
        <f t="shared" ref="W6" si="18">SUMIF(home,S6,homescore)+SUMIF(visitor,S6,visitorscore)</f>
        <v>70</v>
      </c>
      <c r="X6" s="18">
        <f t="shared" ref="X6" si="19">SUMIF(home,S6,visitorscore)+SUMIF(visitor,S6,homescore)</f>
        <v>49</v>
      </c>
      <c r="Y6" s="3">
        <f t="shared" si="12"/>
        <v>21</v>
      </c>
      <c r="Z6" s="29">
        <f t="shared" si="13"/>
        <v>1.4285714285714286</v>
      </c>
      <c r="AA6" s="17">
        <f t="shared" si="14"/>
        <v>10</v>
      </c>
      <c r="AB6" s="19">
        <f t="shared" si="15"/>
        <v>1000211498.5714285</v>
      </c>
    </row>
    <row r="7" spans="1:28">
      <c r="A7" s="20" t="s">
        <v>44</v>
      </c>
      <c r="H7" s="22" t="str" cm="1">
        <f t="array" ref="H7">INDEX($S$3:$S$10,MATCH(LARGE($AB$3:$AB$10-ROW($AB$3:$AB$10)/COUNT($AB$3:$AB$10),ROW(H7)-ROW(H$3)+1),$AB$3:$AB$10-ROW($AB$3:$AB$10)/COUNT($AB$3:$AB$10),0))</f>
        <v>UKS LESZNOWOLA 10</v>
      </c>
      <c r="I7" s="23">
        <f t="shared" si="0"/>
        <v>7</v>
      </c>
      <c r="J7" s="23">
        <f t="shared" si="1"/>
        <v>3</v>
      </c>
      <c r="K7" s="23">
        <f t="shared" si="2"/>
        <v>4</v>
      </c>
      <c r="L7" s="23">
        <f t="shared" si="3"/>
        <v>51</v>
      </c>
      <c r="M7" s="23">
        <f t="shared" si="4"/>
        <v>68</v>
      </c>
      <c r="N7" s="23">
        <f t="shared" si="5"/>
        <v>-17</v>
      </c>
      <c r="O7" s="27">
        <f>IF(Tabela1345[[#This Row],[STRACONE]]=0,0,Tabela1345[[#This Row],[ZDOBYTE]]/Tabela1345[[#This Row],[STRACONE]])</f>
        <v>0.75</v>
      </c>
      <c r="P7" s="24">
        <f t="shared" si="6"/>
        <v>6</v>
      </c>
      <c r="S7" s="21" t="str">
        <f t="shared" si="7"/>
        <v>GLKS NADARZYN 9</v>
      </c>
      <c r="T7" s="16" cm="1">
        <f t="array" ref="T7">SUM((home=S7)*(ISNUMBER(homescore)),(visitor=S7)*(ISNUMBER(visitorscore)))</f>
        <v>7</v>
      </c>
      <c r="U7" s="3">
        <f t="array" ref="U7">SUM((home=S7)*(homescore&gt;visitorscore),(visitor=S7)*(visitorscore&gt;homescore))</f>
        <v>7</v>
      </c>
      <c r="V7" s="3">
        <f t="array" ref="V7">SUM((home=S7)*(homescore&lt;visitorscore),(visitor=S7)*(visitorscore&lt;homescore))</f>
        <v>0</v>
      </c>
      <c r="W7" s="17">
        <f t="shared" ref="W7" si="20">SUMIF(home,S7,homescore)+SUMIF(visitor,S7,visitorscore)</f>
        <v>77</v>
      </c>
      <c r="X7" s="18">
        <f t="shared" ref="X7" si="21">SUMIF(home,S7,visitorscore)+SUMIF(visitor,S7,homescore)</f>
        <v>40</v>
      </c>
      <c r="Y7" s="3">
        <f t="shared" si="12"/>
        <v>37</v>
      </c>
      <c r="Z7" s="29">
        <f t="shared" si="13"/>
        <v>1.925</v>
      </c>
      <c r="AA7" s="17">
        <f t="shared" si="14"/>
        <v>14</v>
      </c>
      <c r="AB7" s="19">
        <f t="shared" si="15"/>
        <v>1400372002</v>
      </c>
    </row>
    <row r="8" spans="1:28">
      <c r="A8" s="20" t="s">
        <v>45</v>
      </c>
      <c r="H8" s="22" t="str" cm="1">
        <f t="array" ref="H8">INDEX($S$3:$S$10,MATCH(LARGE($AB$3:$AB$10-ROW($AB$3:$AB$10)/COUNT($AB$3:$AB$10),ROW(H8)-ROW(H$3)+1),$AB$3:$AB$10-ROW($AB$3:$AB$10)/COUNT($AB$3:$AB$10),0))</f>
        <v>PRASKA 30 5</v>
      </c>
      <c r="I8" s="23">
        <f t="shared" si="0"/>
        <v>7</v>
      </c>
      <c r="J8" s="23">
        <f t="shared" si="1"/>
        <v>2</v>
      </c>
      <c r="K8" s="23">
        <f t="shared" si="2"/>
        <v>5</v>
      </c>
      <c r="L8" s="23">
        <f t="shared" si="3"/>
        <v>55</v>
      </c>
      <c r="M8" s="23">
        <f t="shared" si="4"/>
        <v>68</v>
      </c>
      <c r="N8" s="23">
        <f t="shared" si="5"/>
        <v>-13</v>
      </c>
      <c r="O8" s="27">
        <f>IF(Tabela1345[[#This Row],[STRACONE]]=0,0,Tabela1345[[#This Row],[ZDOBYTE]]/Tabela1345[[#This Row],[STRACONE]])</f>
        <v>0.80882352941176472</v>
      </c>
      <c r="P8" s="24">
        <f t="shared" si="6"/>
        <v>4</v>
      </c>
      <c r="S8" s="21" t="str">
        <f t="shared" si="7"/>
        <v>PRASKA 30 5</v>
      </c>
      <c r="T8" s="16" cm="1">
        <f t="array" ref="T8">SUM((home=S8)*(ISNUMBER(homescore)),(visitor=S8)*(ISNUMBER(visitorscore)))</f>
        <v>7</v>
      </c>
      <c r="U8" s="3">
        <f t="array" ref="U8">SUM((home=S8)*(homescore&gt;visitorscore),(visitor=S8)*(visitorscore&gt;homescore))</f>
        <v>2</v>
      </c>
      <c r="V8" s="3">
        <f t="array" ref="V8">SUM((home=S8)*(homescore&lt;visitorscore),(visitor=S8)*(visitorscore&lt;homescore))</f>
        <v>5</v>
      </c>
      <c r="W8" s="17">
        <f t="shared" ref="W8" si="22">SUMIF(home,S8,homescore)+SUMIF(visitor,S8,visitorscore)</f>
        <v>55</v>
      </c>
      <c r="X8" s="18">
        <f t="shared" ref="X8" si="23">SUMIF(home,S8,visitorscore)+SUMIF(visitor,S8,homescore)</f>
        <v>68</v>
      </c>
      <c r="Y8" s="3">
        <f t="shared" si="12"/>
        <v>-13</v>
      </c>
      <c r="Z8" s="29">
        <f t="shared" si="13"/>
        <v>0.80882352941176472</v>
      </c>
      <c r="AA8" s="17">
        <f t="shared" si="14"/>
        <v>4</v>
      </c>
      <c r="AB8" s="19">
        <f t="shared" si="15"/>
        <v>399870863.82352942</v>
      </c>
    </row>
    <row r="9" spans="1:28">
      <c r="A9" s="20" t="s">
        <v>46</v>
      </c>
      <c r="H9" s="22" t="str" cm="1">
        <f t="array" ref="H9">INDEX($S$3:$S$10,MATCH(LARGE($AB$3:$AB$10-ROW($AB$3:$AB$10)/COUNT($AB$3:$AB$10),ROW(H9)-ROW(H$3)+1),$AB$3:$AB$10-ROW($AB$3:$AB$10)/COUNT($AB$3:$AB$10),0))</f>
        <v>OLIMP MIŃSK MAZ. 6</v>
      </c>
      <c r="I9" s="23">
        <f t="shared" si="0"/>
        <v>7</v>
      </c>
      <c r="J9" s="23">
        <f t="shared" si="1"/>
        <v>2</v>
      </c>
      <c r="K9" s="23">
        <f t="shared" si="2"/>
        <v>5</v>
      </c>
      <c r="L9" s="23">
        <f t="shared" si="3"/>
        <v>53</v>
      </c>
      <c r="M9" s="23">
        <f t="shared" si="4"/>
        <v>71</v>
      </c>
      <c r="N9" s="23">
        <f t="shared" si="5"/>
        <v>-18</v>
      </c>
      <c r="O9" s="27">
        <f>IF(Tabela1345[[#This Row],[STRACONE]]=0,0,Tabela1345[[#This Row],[ZDOBYTE]]/Tabela1345[[#This Row],[STRACONE]])</f>
        <v>0.74647887323943662</v>
      </c>
      <c r="P9" s="24">
        <f t="shared" si="6"/>
        <v>4</v>
      </c>
      <c r="S9" s="21" t="str">
        <f t="shared" si="7"/>
        <v>GLKS NADARZYN 8</v>
      </c>
      <c r="T9" s="16" cm="1">
        <f t="array" ref="T9">SUM((home=S9)*(ISNUMBER(homescore)),(visitor=S9)*(ISNUMBER(visitorscore)))</f>
        <v>7</v>
      </c>
      <c r="U9" s="3">
        <f t="array" ref="U9">SUM((home=S9)*(homescore&gt;visitorscore),(visitor=S9)*(visitorscore&gt;homescore))</f>
        <v>1</v>
      </c>
      <c r="V9" s="3">
        <f t="array" ref="V9">SUM((home=S9)*(homescore&lt;visitorscore),(visitor=S9)*(visitorscore&lt;homescore))</f>
        <v>6</v>
      </c>
      <c r="W9" s="17">
        <f t="shared" ref="W9" si="24">SUMIF(home,S9,homescore)+SUMIF(visitor,S9,visitorscore)</f>
        <v>47</v>
      </c>
      <c r="X9" s="18">
        <f t="shared" ref="X9" si="25">SUMIF(home,S9,visitorscore)+SUMIF(visitor,S9,homescore)</f>
        <v>74</v>
      </c>
      <c r="Y9" s="3">
        <f t="shared" si="12"/>
        <v>-27</v>
      </c>
      <c r="Z9" s="29">
        <f t="shared" si="13"/>
        <v>0.63513513513513509</v>
      </c>
      <c r="AA9" s="17">
        <f t="shared" si="14"/>
        <v>2</v>
      </c>
      <c r="AB9" s="19">
        <f t="shared" si="15"/>
        <v>199730682.13513514</v>
      </c>
    </row>
    <row r="10" spans="1:28">
      <c r="A10" s="20" t="s">
        <v>47</v>
      </c>
      <c r="H10" s="22" t="str" cm="1">
        <f t="array" ref="H10">INDEX($S$3:$S$10,MATCH(LARGE($AB$3:$AB$10-ROW($AB$3:$AB$10)/COUNT($AB$3:$AB$10),ROW(H10)-ROW(H$3)+1),$AB$3:$AB$10-ROW($AB$3:$AB$10)/COUNT($AB$3:$AB$10),0))</f>
        <v>GLKS NADARZYN 8</v>
      </c>
      <c r="I10" s="23">
        <f t="shared" si="0"/>
        <v>7</v>
      </c>
      <c r="J10" s="23">
        <f t="shared" si="1"/>
        <v>1</v>
      </c>
      <c r="K10" s="23">
        <f t="shared" si="2"/>
        <v>6</v>
      </c>
      <c r="L10" s="23">
        <f t="shared" si="3"/>
        <v>47</v>
      </c>
      <c r="M10" s="23">
        <f t="shared" si="4"/>
        <v>74</v>
      </c>
      <c r="N10" s="23">
        <f t="shared" si="5"/>
        <v>-27</v>
      </c>
      <c r="O10" s="27">
        <f>IF(Tabela1345[[#This Row],[STRACONE]]=0,0,Tabela1345[[#This Row],[ZDOBYTE]]/Tabela1345[[#This Row],[STRACONE]])</f>
        <v>0.63513513513513509</v>
      </c>
      <c r="P10" s="24">
        <f t="shared" si="6"/>
        <v>2</v>
      </c>
      <c r="S10" s="21" t="str">
        <f t="shared" si="7"/>
        <v>OLIMP MIŃSK MAZ. 6</v>
      </c>
      <c r="T10" s="16" cm="1">
        <f t="array" ref="T10">SUM((home=S10)*(ISNUMBER(homescore)),(visitor=S10)*(ISNUMBER(visitorscore)))</f>
        <v>7</v>
      </c>
      <c r="U10" s="3">
        <f t="array" ref="U10">SUM((home=S10)*(homescore&gt;visitorscore),(visitor=S10)*(visitorscore&gt;homescore))</f>
        <v>2</v>
      </c>
      <c r="V10" s="3">
        <f t="array" ref="V10">SUM((home=S10)*(homescore&lt;visitorscore),(visitor=S10)*(visitorscore&lt;homescore))</f>
        <v>5</v>
      </c>
      <c r="W10" s="17">
        <f t="shared" ref="W10" si="26">SUMIF(home,S10,homescore)+SUMIF(visitor,S10,visitorscore)</f>
        <v>53</v>
      </c>
      <c r="X10" s="18">
        <f t="shared" ref="X10" si="27">SUMIF(home,S10,visitorscore)+SUMIF(visitor,S10,homescore)</f>
        <v>71</v>
      </c>
      <c r="Y10" s="3">
        <f t="shared" si="12"/>
        <v>-18</v>
      </c>
      <c r="Z10" s="29">
        <f t="shared" si="13"/>
        <v>0.74647887323943662</v>
      </c>
      <c r="AA10" s="17">
        <f t="shared" si="14"/>
        <v>4</v>
      </c>
      <c r="AB10" s="19">
        <f t="shared" si="15"/>
        <v>399820799.47887325</v>
      </c>
    </row>
    <row r="11" spans="1:28">
      <c r="A11" s="20" t="s">
        <v>48</v>
      </c>
    </row>
    <row r="14" spans="1:28">
      <c r="A14" s="10" t="s">
        <v>27</v>
      </c>
      <c r="B14" s="10" t="s">
        <v>28</v>
      </c>
      <c r="H14" s="25"/>
    </row>
    <row r="15" spans="1:28">
      <c r="A15" s="26" t="str">
        <f>A4</f>
        <v>PRASKA 30 4</v>
      </c>
      <c r="B15" s="26" t="str">
        <f>A11</f>
        <v>OLIMP MIŃSK MAZ. 6</v>
      </c>
      <c r="C15" s="13">
        <v>6</v>
      </c>
      <c r="D15" s="13" t="s">
        <v>29</v>
      </c>
      <c r="E15" s="13">
        <v>11</v>
      </c>
      <c r="F15" s="3"/>
    </row>
    <row r="16" spans="1:28">
      <c r="A16" s="26" t="str">
        <f>A5</f>
        <v>SPARTA GRODZISK MAZ. 2</v>
      </c>
      <c r="B16" s="26" t="str">
        <f>A10</f>
        <v>GLKS NADARZYN 8</v>
      </c>
      <c r="C16" s="13">
        <v>11</v>
      </c>
      <c r="D16" s="13" t="s">
        <v>29</v>
      </c>
      <c r="E16" s="13">
        <v>5</v>
      </c>
      <c r="F16" s="3"/>
    </row>
    <row r="17" spans="1:29">
      <c r="A17" s="26" t="str">
        <f>A6</f>
        <v>UKS LESZNOWOLA 10</v>
      </c>
      <c r="B17" s="26" t="str">
        <f>A9</f>
        <v>PRASKA 30 5</v>
      </c>
      <c r="C17" s="13">
        <v>11</v>
      </c>
      <c r="D17" s="13" t="s">
        <v>29</v>
      </c>
      <c r="E17" s="13">
        <v>10</v>
      </c>
      <c r="F17" s="3"/>
    </row>
    <row r="18" spans="1:29">
      <c r="A18" s="26" t="str">
        <f>A7</f>
        <v>SASKA WARSZAWA 3</v>
      </c>
      <c r="B18" s="26" t="str">
        <f>A8</f>
        <v>GLKS NADARZYN 9</v>
      </c>
      <c r="C18" s="13">
        <v>7</v>
      </c>
      <c r="D18" s="13" t="s">
        <v>29</v>
      </c>
      <c r="E18" s="13">
        <v>11</v>
      </c>
      <c r="F18" s="3"/>
    </row>
    <row r="19" spans="1:29">
      <c r="A19" s="26" t="str">
        <f>A11</f>
        <v>OLIMP MIŃSK MAZ. 6</v>
      </c>
      <c r="B19" s="26" t="str">
        <f>A8</f>
        <v>GLKS NADARZYN 9</v>
      </c>
      <c r="C19" s="13">
        <v>3</v>
      </c>
      <c r="D19" s="13" t="s">
        <v>29</v>
      </c>
      <c r="E19" s="13">
        <v>11</v>
      </c>
      <c r="F19" s="3" t="s">
        <v>30</v>
      </c>
    </row>
    <row r="20" spans="1:29" s="3" customFormat="1">
      <c r="A20" s="26" t="str">
        <f>A9</f>
        <v>PRASKA 30 5</v>
      </c>
      <c r="B20" s="26" t="str">
        <f>A7</f>
        <v>SASKA WARSZAWA 3</v>
      </c>
      <c r="C20" s="13">
        <v>8</v>
      </c>
      <c r="D20" s="13" t="s">
        <v>29</v>
      </c>
      <c r="E20" s="13">
        <v>11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3" customFormat="1">
      <c r="A21" s="26" t="str">
        <f>A10</f>
        <v>GLKS NADARZYN 8</v>
      </c>
      <c r="B21" s="26" t="str">
        <f>A6</f>
        <v>UKS LESZNOWOLA 10</v>
      </c>
      <c r="C21" s="13">
        <v>8</v>
      </c>
      <c r="D21" s="13" t="s">
        <v>29</v>
      </c>
      <c r="E21" s="13">
        <v>11</v>
      </c>
      <c r="F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3" customFormat="1">
      <c r="A22" s="26" t="str">
        <f>A4</f>
        <v>PRASKA 30 4</v>
      </c>
      <c r="B22" s="26" t="str">
        <f>A5</f>
        <v>SPARTA GRODZISK MAZ. 2</v>
      </c>
      <c r="C22" s="13">
        <v>4</v>
      </c>
      <c r="D22" s="13" t="s">
        <v>29</v>
      </c>
      <c r="E22" s="13">
        <v>11</v>
      </c>
      <c r="F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3" customFormat="1">
      <c r="A23" s="26" t="str">
        <f>A5</f>
        <v>SPARTA GRODZISK MAZ. 2</v>
      </c>
      <c r="B23" s="26" t="str">
        <f>A11</f>
        <v>OLIMP MIŃSK MAZ. 6</v>
      </c>
      <c r="C23" s="13">
        <v>10</v>
      </c>
      <c r="D23" s="13" t="s">
        <v>29</v>
      </c>
      <c r="E23" s="13">
        <v>11</v>
      </c>
      <c r="F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3" customFormat="1">
      <c r="A24" s="26" t="str">
        <f>A6</f>
        <v>UKS LESZNOWOLA 10</v>
      </c>
      <c r="B24" s="26" t="str">
        <f>A4</f>
        <v>PRASKA 30 4</v>
      </c>
      <c r="C24" s="13">
        <v>2</v>
      </c>
      <c r="D24" s="13" t="s">
        <v>29</v>
      </c>
      <c r="E24" s="13">
        <v>11</v>
      </c>
      <c r="F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26" t="str">
        <f>A7</f>
        <v>SASKA WARSZAWA 3</v>
      </c>
      <c r="B25" s="26" t="str">
        <f>A10</f>
        <v>GLKS NADARZYN 8</v>
      </c>
      <c r="C25" s="13">
        <v>11</v>
      </c>
      <c r="D25" s="13" t="s">
        <v>29</v>
      </c>
      <c r="E25" s="13">
        <v>0</v>
      </c>
    </row>
    <row r="26" spans="1:29">
      <c r="A26" s="26" t="str">
        <f>A8</f>
        <v>GLKS NADARZYN 9</v>
      </c>
      <c r="B26" s="26" t="str">
        <f>A9</f>
        <v>PRASKA 30 5</v>
      </c>
      <c r="C26" s="13">
        <v>11</v>
      </c>
      <c r="D26" s="13" t="s">
        <v>29</v>
      </c>
      <c r="E26" s="13">
        <v>1</v>
      </c>
    </row>
    <row r="27" spans="1:29">
      <c r="A27" s="26" t="str">
        <f>A11</f>
        <v>OLIMP MIŃSK MAZ. 6</v>
      </c>
      <c r="B27" s="26" t="str">
        <f>A9</f>
        <v>PRASKA 30 5</v>
      </c>
      <c r="C27" s="13">
        <v>7</v>
      </c>
      <c r="D27" s="13" t="s">
        <v>29</v>
      </c>
      <c r="E27" s="13">
        <v>11</v>
      </c>
    </row>
    <row r="28" spans="1:29">
      <c r="A28" s="26" t="str">
        <f>A10</f>
        <v>GLKS NADARZYN 8</v>
      </c>
      <c r="B28" s="26" t="str">
        <f>A8</f>
        <v>GLKS NADARZYN 9</v>
      </c>
      <c r="C28" s="13">
        <v>7</v>
      </c>
      <c r="D28" s="13" t="s">
        <v>29</v>
      </c>
      <c r="E28" s="13">
        <v>11</v>
      </c>
    </row>
    <row r="29" spans="1:29">
      <c r="A29" s="26" t="str">
        <f t="shared" ref="A29:A34" si="28">A4</f>
        <v>PRASKA 30 4</v>
      </c>
      <c r="B29" s="26" t="str">
        <f>A7</f>
        <v>SASKA WARSZAWA 3</v>
      </c>
      <c r="C29" s="13">
        <v>9</v>
      </c>
      <c r="D29" s="13" t="s">
        <v>29</v>
      </c>
      <c r="E29" s="13">
        <v>11</v>
      </c>
    </row>
    <row r="30" spans="1:29">
      <c r="A30" s="26" t="str">
        <f t="shared" si="28"/>
        <v>SPARTA GRODZISK MAZ. 2</v>
      </c>
      <c r="B30" s="26" t="str">
        <f>A6</f>
        <v>UKS LESZNOWOLA 10</v>
      </c>
      <c r="C30" s="13">
        <v>11</v>
      </c>
      <c r="D30" s="13" t="s">
        <v>29</v>
      </c>
      <c r="E30" s="13">
        <v>8</v>
      </c>
    </row>
    <row r="31" spans="1:29">
      <c r="A31" s="26" t="str">
        <f t="shared" si="28"/>
        <v>UKS LESZNOWOLA 10</v>
      </c>
      <c r="B31" s="26" t="str">
        <f>A11</f>
        <v>OLIMP MIŃSK MAZ. 6</v>
      </c>
      <c r="C31" s="13">
        <v>11</v>
      </c>
      <c r="D31" s="13" t="s">
        <v>29</v>
      </c>
      <c r="E31" s="13">
        <v>6</v>
      </c>
    </row>
    <row r="32" spans="1:29">
      <c r="A32" s="26" t="str">
        <f t="shared" si="28"/>
        <v>SASKA WARSZAWA 3</v>
      </c>
      <c r="B32" s="26" t="str">
        <f>A5</f>
        <v>SPARTA GRODZISK MAZ. 2</v>
      </c>
      <c r="C32" s="13">
        <v>8</v>
      </c>
      <c r="D32" s="13" t="s">
        <v>29</v>
      </c>
      <c r="E32" s="13">
        <v>11</v>
      </c>
    </row>
    <row r="33" spans="1:5">
      <c r="A33" s="26" t="str">
        <f t="shared" si="28"/>
        <v>GLKS NADARZYN 9</v>
      </c>
      <c r="B33" s="26" t="str">
        <f>A4</f>
        <v>PRASKA 30 4</v>
      </c>
      <c r="C33" s="13">
        <v>11</v>
      </c>
      <c r="D33" s="13" t="s">
        <v>29</v>
      </c>
      <c r="E33" s="13">
        <v>7</v>
      </c>
    </row>
    <row r="34" spans="1:5">
      <c r="A34" s="26" t="str">
        <f t="shared" si="28"/>
        <v>PRASKA 30 5</v>
      </c>
      <c r="B34" s="26" t="str">
        <f>A10</f>
        <v>GLKS NADARZYN 8</v>
      </c>
      <c r="C34" s="13">
        <v>11</v>
      </c>
      <c r="D34" s="13" t="s">
        <v>29</v>
      </c>
      <c r="E34" s="13">
        <v>6</v>
      </c>
    </row>
    <row r="35" spans="1:5">
      <c r="A35" s="26" t="str">
        <f>A11</f>
        <v>OLIMP MIŃSK MAZ. 6</v>
      </c>
      <c r="B35" s="26" t="str">
        <f>A10</f>
        <v>GLKS NADARZYN 8</v>
      </c>
      <c r="C35" s="13">
        <v>8</v>
      </c>
      <c r="D35" s="13" t="s">
        <v>29</v>
      </c>
      <c r="E35" s="13">
        <v>11</v>
      </c>
    </row>
    <row r="36" spans="1:5">
      <c r="A36" s="26" t="str">
        <f t="shared" ref="A36:A42" si="29">A4</f>
        <v>PRASKA 30 4</v>
      </c>
      <c r="B36" s="26" t="str">
        <f>A9</f>
        <v>PRASKA 30 5</v>
      </c>
      <c r="C36" s="13">
        <v>11</v>
      </c>
      <c r="D36" s="13" t="s">
        <v>29</v>
      </c>
      <c r="E36" s="13">
        <v>7</v>
      </c>
    </row>
    <row r="37" spans="1:5">
      <c r="A37" s="26" t="str">
        <f t="shared" si="29"/>
        <v>SPARTA GRODZISK MAZ. 2</v>
      </c>
      <c r="B37" s="26" t="str">
        <f>A8</f>
        <v>GLKS NADARZYN 9</v>
      </c>
      <c r="C37" s="13">
        <v>10</v>
      </c>
      <c r="D37" s="13" t="s">
        <v>29</v>
      </c>
      <c r="E37" s="13">
        <v>11</v>
      </c>
    </row>
    <row r="38" spans="1:5">
      <c r="A38" s="26" t="str">
        <f t="shared" si="29"/>
        <v>UKS LESZNOWOLA 10</v>
      </c>
      <c r="B38" s="26" t="str">
        <f>A7</f>
        <v>SASKA WARSZAWA 3</v>
      </c>
      <c r="C38" s="13">
        <v>3</v>
      </c>
      <c r="D38" s="13" t="s">
        <v>29</v>
      </c>
      <c r="E38" s="13">
        <v>11</v>
      </c>
    </row>
    <row r="39" spans="1:5">
      <c r="A39" s="26" t="str">
        <f t="shared" si="29"/>
        <v>SASKA WARSZAWA 3</v>
      </c>
      <c r="B39" s="26" t="str">
        <f>A11</f>
        <v>OLIMP MIŃSK MAZ. 6</v>
      </c>
      <c r="C39" s="13">
        <v>11</v>
      </c>
      <c r="D39" s="13" t="s">
        <v>29</v>
      </c>
      <c r="E39" s="13">
        <v>7</v>
      </c>
    </row>
    <row r="40" spans="1:5">
      <c r="A40" s="26" t="str">
        <f t="shared" si="29"/>
        <v>GLKS NADARZYN 9</v>
      </c>
      <c r="B40" s="26" t="str">
        <f>A6</f>
        <v>UKS LESZNOWOLA 10</v>
      </c>
      <c r="C40" s="13">
        <v>11</v>
      </c>
      <c r="D40" s="13" t="s">
        <v>29</v>
      </c>
      <c r="E40" s="13">
        <v>5</v>
      </c>
    </row>
    <row r="41" spans="1:5">
      <c r="A41" s="26" t="str">
        <f t="shared" si="29"/>
        <v>PRASKA 30 5</v>
      </c>
      <c r="B41" s="26" t="str">
        <f>A5</f>
        <v>SPARTA GRODZISK MAZ. 2</v>
      </c>
      <c r="C41" s="13">
        <v>7</v>
      </c>
      <c r="D41" s="13" t="s">
        <v>29</v>
      </c>
      <c r="E41" s="13">
        <v>11</v>
      </c>
    </row>
    <row r="42" spans="1:5">
      <c r="A42" s="26" t="str">
        <f t="shared" si="29"/>
        <v>GLKS NADARZYN 8</v>
      </c>
      <c r="B42" s="26" t="str">
        <f>A4</f>
        <v>PRASKA 30 4</v>
      </c>
      <c r="C42" s="13">
        <v>10</v>
      </c>
      <c r="D42" s="13" t="s">
        <v>29</v>
      </c>
      <c r="E42" s="13">
        <v>11</v>
      </c>
    </row>
  </sheetData>
  <autoFilter ref="A14:B42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7E814-ECF8-4F5F-906B-AAEF9E79FD20}">
  <dimension ref="A1:AC42"/>
  <sheetViews>
    <sheetView workbookViewId="0">
      <selection activeCell="H43" sqref="H43"/>
    </sheetView>
  </sheetViews>
  <sheetFormatPr defaultColWidth="8.85546875" defaultRowHeight="15"/>
  <cols>
    <col min="1" max="2" width="21" style="2" bestFit="1" customWidth="1"/>
    <col min="3" max="5" width="3.85546875" style="2" customWidth="1"/>
    <col min="6" max="6" width="8.28515625" style="2" customWidth="1"/>
    <col min="7" max="7" width="8.28515625" style="3" customWidth="1"/>
    <col min="8" max="8" width="21" style="3" bestFit="1" customWidth="1"/>
    <col min="9" max="9" width="11.7109375" style="3" customWidth="1"/>
    <col min="10" max="16" width="11.7109375" style="2" customWidth="1"/>
    <col min="17" max="17" width="11.42578125" style="2" customWidth="1"/>
    <col min="18" max="18" width="8.85546875" style="2" hidden="1" customWidth="1"/>
    <col min="19" max="26" width="9.140625" style="2" hidden="1" customWidth="1"/>
    <col min="27" max="27" width="4.140625" style="2" hidden="1" customWidth="1"/>
    <col min="28" max="28" width="9.140625" style="2" hidden="1" customWidth="1"/>
    <col min="29" max="29" width="8.85546875" style="2" hidden="1" customWidth="1"/>
    <col min="30" max="16384" width="8.85546875" style="2"/>
  </cols>
  <sheetData>
    <row r="1" spans="1:28" ht="28.5">
      <c r="A1" s="1" t="s">
        <v>49</v>
      </c>
      <c r="S1" s="80" t="s">
        <v>1</v>
      </c>
      <c r="T1" s="2" t="b">
        <f>ROWS(homescore)-COUNT(homescore)=0</f>
        <v>1</v>
      </c>
      <c r="U1" s="80" t="s">
        <v>2</v>
      </c>
      <c r="V1" s="2">
        <f>ROWS(homescore)-COUNTA(homescore)</f>
        <v>0</v>
      </c>
    </row>
    <row r="2" spans="1:28">
      <c r="H2" s="4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6" t="s">
        <v>10</v>
      </c>
      <c r="P2" s="6" t="s">
        <v>11</v>
      </c>
      <c r="T2" s="7" t="s">
        <v>4</v>
      </c>
      <c r="U2" s="8" t="s">
        <v>12</v>
      </c>
      <c r="V2" s="8" t="s">
        <v>13</v>
      </c>
      <c r="W2" s="9" t="s">
        <v>14</v>
      </c>
      <c r="X2" s="4" t="s">
        <v>15</v>
      </c>
      <c r="Y2" s="8" t="s">
        <v>16</v>
      </c>
      <c r="Z2" s="28" t="s">
        <v>17</v>
      </c>
      <c r="AA2" s="9" t="s">
        <v>13</v>
      </c>
      <c r="AB2" s="9" t="s">
        <v>18</v>
      </c>
    </row>
    <row r="3" spans="1:28">
      <c r="A3" s="10" t="s">
        <v>3</v>
      </c>
      <c r="B3" s="11"/>
      <c r="H3" s="12" t="str" cm="1">
        <f t="array" ref="H3">INDEX($S$3:$S$10,MATCH(LARGE($AB$3:$AB$10-ROW($AB$3:$AB$10)/COUNT($AB$3:$AB$10),ROW(H3)-ROW(H$3)+1),$AB$3:$AB$10-ROW($AB$3:$AB$10)/COUNT($AB$3:$AB$10),0))</f>
        <v>PRASKA 30 1</v>
      </c>
      <c r="I3" s="13">
        <f t="shared" ref="I3:I10" si="0">VLOOKUP($H3,$S$3:$AA$10,2,0)</f>
        <v>7</v>
      </c>
      <c r="J3" s="13">
        <f t="shared" ref="J3:J10" si="1">VLOOKUP($H3,$S$3:$AA$10,3,0)</f>
        <v>6</v>
      </c>
      <c r="K3" s="13">
        <f t="shared" ref="K3:K10" si="2">VLOOKUP($H3,$S$3:$AA$10,4,0)</f>
        <v>1</v>
      </c>
      <c r="L3" s="13">
        <f t="shared" ref="L3:L10" si="3">VLOOKUP($H3,$S$3:$AA$10,5,0)</f>
        <v>76</v>
      </c>
      <c r="M3" s="13">
        <f t="shared" ref="M3:M10" si="4">VLOOKUP($H3,$S$3:$AA$10,6,0)</f>
        <v>33</v>
      </c>
      <c r="N3" s="13">
        <f t="shared" ref="N3:N10" si="5">VLOOKUP($H3,$S$3:$AA$10,7,0)</f>
        <v>43</v>
      </c>
      <c r="O3" s="27">
        <f>IF(Tabela134[[#This Row],[STRACONE]]=0,0,Tabela134[[#This Row],[ZDOBYTE]]/Tabela134[[#This Row],[STRACONE]])</f>
        <v>2.3030303030303032</v>
      </c>
      <c r="P3" s="14">
        <f t="shared" ref="P3:P10" si="6">VLOOKUP($H3,$S$3:$AB$10,9,0)</f>
        <v>12</v>
      </c>
      <c r="S3" s="15" t="str">
        <f t="shared" ref="S3:S10" si="7">A4</f>
        <v>GLKS NADARZYN 5</v>
      </c>
      <c r="T3" s="16" cm="1">
        <f t="array" ref="T3">SUM((home=S3)*(ISNUMBER(homescore)),(visitor=S3)*(ISNUMBER(visitorscore)))</f>
        <v>7</v>
      </c>
      <c r="U3" s="3">
        <f t="array" ref="U3">SUM((home=S3)*(homescore&gt;visitorscore),(visitor=S3)*(visitorscore&gt;homescore))</f>
        <v>4</v>
      </c>
      <c r="V3" s="3">
        <f t="array" ref="V3">SUM((home=S3)*(homescore&lt;visitorscore),(visitor=S3)*(visitorscore&lt;homescore))</f>
        <v>3</v>
      </c>
      <c r="W3" s="17">
        <f t="shared" ref="W3" si="8">SUMIF(home,S3,homescore)+SUMIF(visitor,S3,visitorscore)</f>
        <v>57</v>
      </c>
      <c r="X3" s="18">
        <f t="shared" ref="X3" si="9">SUMIF(home,S3,visitorscore)+SUMIF(visitor,S3,homescore)</f>
        <v>53</v>
      </c>
      <c r="Y3" s="3">
        <f>W3-X3</f>
        <v>4</v>
      </c>
      <c r="Z3" s="29">
        <f>IF(X3&gt;0,W3/X3,0)</f>
        <v>1.0754716981132075</v>
      </c>
      <c r="AA3" s="17">
        <f>2*U3</f>
        <v>8</v>
      </c>
      <c r="AB3" s="19">
        <f>W3+Z3*1000+Y3*10000+AA3*100000000</f>
        <v>800041132.47169816</v>
      </c>
    </row>
    <row r="4" spans="1:28">
      <c r="A4" s="20" t="s">
        <v>50</v>
      </c>
      <c r="H4" s="12" t="str" cm="1">
        <f t="array" ref="H4">INDEX($S$3:$S$10,MATCH(LARGE($AB$3:$AB$10-ROW($AB$3:$AB$10)/COUNT($AB$3:$AB$10),ROW(H4)-ROW(H$3)+1),$AB$3:$AB$10-ROW($AB$3:$AB$10)/COUNT($AB$3:$AB$10),0))</f>
        <v>GLKS NADARZYN 1</v>
      </c>
      <c r="I4" s="13">
        <f t="shared" si="0"/>
        <v>7</v>
      </c>
      <c r="J4" s="13">
        <f t="shared" si="1"/>
        <v>6</v>
      </c>
      <c r="K4" s="13">
        <f t="shared" si="2"/>
        <v>1</v>
      </c>
      <c r="L4" s="13">
        <f t="shared" si="3"/>
        <v>72</v>
      </c>
      <c r="M4" s="13">
        <f t="shared" si="4"/>
        <v>40</v>
      </c>
      <c r="N4" s="13">
        <f t="shared" si="5"/>
        <v>32</v>
      </c>
      <c r="O4" s="27">
        <f>IF(Tabela134[[#This Row],[STRACONE]]=0,0,Tabela134[[#This Row],[ZDOBYTE]]/Tabela134[[#This Row],[STRACONE]])</f>
        <v>1.8</v>
      </c>
      <c r="P4" s="14">
        <f t="shared" si="6"/>
        <v>12</v>
      </c>
      <c r="S4" s="21" t="str">
        <f t="shared" si="7"/>
        <v>PRASKA 30 1</v>
      </c>
      <c r="T4" s="16" cm="1">
        <f t="array" ref="T4">SUM((home=S4)*(ISNUMBER(homescore)),(visitor=S4)*(ISNUMBER(visitorscore)))</f>
        <v>7</v>
      </c>
      <c r="U4" s="3">
        <f t="array" ref="U4">SUM((home=S4)*(homescore&gt;visitorscore),(visitor=S4)*(visitorscore&gt;homescore))</f>
        <v>6</v>
      </c>
      <c r="V4" s="3">
        <f t="array" ref="V4">SUM((home=S4)*(homescore&lt;visitorscore),(visitor=S4)*(visitorscore&lt;homescore))</f>
        <v>1</v>
      </c>
      <c r="W4" s="17">
        <f t="shared" ref="W4" si="10">SUMIF(home,S4,homescore)+SUMIF(visitor,S4,visitorscore)</f>
        <v>76</v>
      </c>
      <c r="X4" s="18">
        <f t="shared" ref="X4" si="11">SUMIF(home,S4,visitorscore)+SUMIF(visitor,S4,homescore)</f>
        <v>33</v>
      </c>
      <c r="Y4" s="3">
        <f t="shared" ref="Y4:Y10" si="12">W4-X4</f>
        <v>43</v>
      </c>
      <c r="Z4" s="29">
        <f t="shared" ref="Z4:Z10" si="13">IF(X4&gt;0,W4/X4,0)</f>
        <v>2.3030303030303032</v>
      </c>
      <c r="AA4" s="17">
        <f t="shared" ref="AA4:AA10" si="14">2*U4</f>
        <v>12</v>
      </c>
      <c r="AB4" s="19">
        <f t="shared" ref="AB4:AB10" si="15">W4+Z4*1000+Y4*10000+AA4*100000000</f>
        <v>1200432379.030303</v>
      </c>
    </row>
    <row r="5" spans="1:28">
      <c r="A5" s="20" t="s">
        <v>51</v>
      </c>
      <c r="H5" s="12" t="str" cm="1">
        <f t="array" ref="H5">INDEX($S$3:$S$10,MATCH(LARGE($AB$3:$AB$10-ROW($AB$3:$AB$10)/COUNT($AB$3:$AB$10),ROW(H5)-ROW(H$3)+1),$AB$3:$AB$10-ROW($AB$3:$AB$10)/COUNT($AB$3:$AB$10),0))</f>
        <v>SPARTA WARSZAWA 2</v>
      </c>
      <c r="I5" s="13">
        <f t="shared" si="0"/>
        <v>7</v>
      </c>
      <c r="J5" s="13">
        <f t="shared" si="1"/>
        <v>4</v>
      </c>
      <c r="K5" s="13">
        <f t="shared" si="2"/>
        <v>3</v>
      </c>
      <c r="L5" s="13">
        <f t="shared" si="3"/>
        <v>63</v>
      </c>
      <c r="M5" s="13">
        <f t="shared" si="4"/>
        <v>51</v>
      </c>
      <c r="N5" s="13">
        <f t="shared" si="5"/>
        <v>12</v>
      </c>
      <c r="O5" s="27">
        <f>IF(Tabela134[[#This Row],[STRACONE]]=0,0,Tabela134[[#This Row],[ZDOBYTE]]/Tabela134[[#This Row],[STRACONE]])</f>
        <v>1.2352941176470589</v>
      </c>
      <c r="P5" s="14">
        <f t="shared" si="6"/>
        <v>8</v>
      </c>
      <c r="S5" s="21" t="str">
        <f t="shared" si="7"/>
        <v>GLKS NADARZYN 10</v>
      </c>
      <c r="T5" s="16" cm="1">
        <f t="array" ref="T5">SUM((home=S5)*(ISNUMBER(homescore)),(visitor=S5)*(ISNUMBER(visitorscore)))</f>
        <v>7</v>
      </c>
      <c r="U5" s="3">
        <f t="array" ref="U5">SUM((home=S5)*(homescore&gt;visitorscore),(visitor=S5)*(visitorscore&gt;homescore))</f>
        <v>0</v>
      </c>
      <c r="V5" s="3">
        <f t="array" ref="V5">SUM((home=S5)*(homescore&lt;visitorscore),(visitor=S5)*(visitorscore&lt;homescore))</f>
        <v>7</v>
      </c>
      <c r="W5" s="17">
        <f t="shared" ref="W5" si="16">SUMIF(home,S5,homescore)+SUMIF(visitor,S5,visitorscore)</f>
        <v>0</v>
      </c>
      <c r="X5" s="18">
        <f t="shared" ref="X5" si="17">SUMIF(home,S5,visitorscore)+SUMIF(visitor,S5,homescore)</f>
        <v>77</v>
      </c>
      <c r="Y5" s="3">
        <f t="shared" si="12"/>
        <v>-77</v>
      </c>
      <c r="Z5" s="29">
        <f t="shared" si="13"/>
        <v>0</v>
      </c>
      <c r="AA5" s="17">
        <f t="shared" si="14"/>
        <v>0</v>
      </c>
      <c r="AB5" s="19">
        <f t="shared" si="15"/>
        <v>-770000</v>
      </c>
    </row>
    <row r="6" spans="1:28">
      <c r="A6" s="20" t="s">
        <v>52</v>
      </c>
      <c r="H6" s="12" t="str" cm="1">
        <f t="array" ref="H6">INDEX($S$3:$S$10,MATCH(LARGE($AB$3:$AB$10-ROW($AB$3:$AB$10)/COUNT($AB$3:$AB$10),ROW(H6)-ROW(H$3)+1),$AB$3:$AB$10-ROW($AB$3:$AB$10)/COUNT($AB$3:$AB$10),0))</f>
        <v>UKS LESZNOWOLA 8</v>
      </c>
      <c r="I6" s="13">
        <f t="shared" si="0"/>
        <v>7</v>
      </c>
      <c r="J6" s="13">
        <f t="shared" si="1"/>
        <v>4</v>
      </c>
      <c r="K6" s="13">
        <f t="shared" si="2"/>
        <v>3</v>
      </c>
      <c r="L6" s="13">
        <f t="shared" si="3"/>
        <v>65</v>
      </c>
      <c r="M6" s="13">
        <f t="shared" si="4"/>
        <v>57</v>
      </c>
      <c r="N6" s="13">
        <f t="shared" si="5"/>
        <v>8</v>
      </c>
      <c r="O6" s="27">
        <f>IF(Tabela134[[#This Row],[STRACONE]]=0,0,Tabela134[[#This Row],[ZDOBYTE]]/Tabela134[[#This Row],[STRACONE]])</f>
        <v>1.1403508771929824</v>
      </c>
      <c r="P6" s="14">
        <f t="shared" si="6"/>
        <v>8</v>
      </c>
      <c r="S6" s="21" t="str">
        <f t="shared" si="7"/>
        <v>RASZYN 8</v>
      </c>
      <c r="T6" s="16" cm="1">
        <f t="array" ref="T6">SUM((home=S6)*(ISNUMBER(homescore)),(visitor=S6)*(ISNUMBER(visitorscore)))</f>
        <v>7</v>
      </c>
      <c r="U6" s="3">
        <f t="array" ref="U6">SUM((home=S6)*(homescore&gt;visitorscore),(visitor=S6)*(visitorscore&gt;homescore))</f>
        <v>2</v>
      </c>
      <c r="V6" s="3">
        <f t="array" ref="V6">SUM((home=S6)*(homescore&lt;visitorscore),(visitor=S6)*(visitorscore&lt;homescore))</f>
        <v>5</v>
      </c>
      <c r="W6" s="17">
        <f t="shared" ref="W6" si="18">SUMIF(home,S6,homescore)+SUMIF(visitor,S6,visitorscore)</f>
        <v>41</v>
      </c>
      <c r="X6" s="18">
        <f t="shared" ref="X6" si="19">SUMIF(home,S6,visitorscore)+SUMIF(visitor,S6,homescore)</f>
        <v>56</v>
      </c>
      <c r="Y6" s="3">
        <f t="shared" si="12"/>
        <v>-15</v>
      </c>
      <c r="Z6" s="29">
        <f t="shared" si="13"/>
        <v>0.7321428571428571</v>
      </c>
      <c r="AA6" s="17">
        <f t="shared" si="14"/>
        <v>4</v>
      </c>
      <c r="AB6" s="19">
        <f t="shared" si="15"/>
        <v>399850773.14285713</v>
      </c>
    </row>
    <row r="7" spans="1:28">
      <c r="A7" s="20" t="s">
        <v>53</v>
      </c>
      <c r="H7" s="22" t="str" cm="1">
        <f t="array" ref="H7">INDEX($S$3:$S$10,MATCH(LARGE($AB$3:$AB$10-ROW($AB$3:$AB$10)/COUNT($AB$3:$AB$10),ROW(H7)-ROW(H$3)+1),$AB$3:$AB$10-ROW($AB$3:$AB$10)/COUNT($AB$3:$AB$10),0))</f>
        <v>GLKS NADARZYN 5</v>
      </c>
      <c r="I7" s="23">
        <f t="shared" si="0"/>
        <v>7</v>
      </c>
      <c r="J7" s="23">
        <f t="shared" si="1"/>
        <v>4</v>
      </c>
      <c r="K7" s="23">
        <f t="shared" si="2"/>
        <v>3</v>
      </c>
      <c r="L7" s="23">
        <f t="shared" si="3"/>
        <v>57</v>
      </c>
      <c r="M7" s="23">
        <f t="shared" si="4"/>
        <v>53</v>
      </c>
      <c r="N7" s="23">
        <f t="shared" si="5"/>
        <v>4</v>
      </c>
      <c r="O7" s="27">
        <f>IF(Tabela134[[#This Row],[STRACONE]]=0,0,Tabela134[[#This Row],[ZDOBYTE]]/Tabela134[[#This Row],[STRACONE]])</f>
        <v>1.0754716981132075</v>
      </c>
      <c r="P7" s="24">
        <f t="shared" si="6"/>
        <v>8</v>
      </c>
      <c r="S7" s="21" t="str">
        <f t="shared" si="7"/>
        <v>UKS LESZNOWOLA 8</v>
      </c>
      <c r="T7" s="16" cm="1">
        <f t="array" ref="T7">SUM((home=S7)*(ISNUMBER(homescore)),(visitor=S7)*(ISNUMBER(visitorscore)))</f>
        <v>7</v>
      </c>
      <c r="U7" s="3">
        <f t="array" ref="U7">SUM((home=S7)*(homescore&gt;visitorscore),(visitor=S7)*(visitorscore&gt;homescore))</f>
        <v>4</v>
      </c>
      <c r="V7" s="3">
        <f t="array" ref="V7">SUM((home=S7)*(homescore&lt;visitorscore),(visitor=S7)*(visitorscore&lt;homescore))</f>
        <v>3</v>
      </c>
      <c r="W7" s="17">
        <f t="shared" ref="W7" si="20">SUMIF(home,S7,homescore)+SUMIF(visitor,S7,visitorscore)</f>
        <v>65</v>
      </c>
      <c r="X7" s="18">
        <f t="shared" ref="X7" si="21">SUMIF(home,S7,visitorscore)+SUMIF(visitor,S7,homescore)</f>
        <v>57</v>
      </c>
      <c r="Y7" s="3">
        <f t="shared" si="12"/>
        <v>8</v>
      </c>
      <c r="Z7" s="29">
        <f t="shared" si="13"/>
        <v>1.1403508771929824</v>
      </c>
      <c r="AA7" s="17">
        <f t="shared" si="14"/>
        <v>8</v>
      </c>
      <c r="AB7" s="19">
        <f t="shared" si="15"/>
        <v>800081205.35087717</v>
      </c>
    </row>
    <row r="8" spans="1:28">
      <c r="A8" s="20" t="s">
        <v>54</v>
      </c>
      <c r="H8" s="22" t="str" cm="1">
        <f t="array" ref="H8">INDEX($S$3:$S$10,MATCH(LARGE($AB$3:$AB$10-ROW($AB$3:$AB$10)/COUNT($AB$3:$AB$10),ROW(H8)-ROW(H$3)+1),$AB$3:$AB$10-ROW($AB$3:$AB$10)/COUNT($AB$3:$AB$10),0))</f>
        <v>UKS LESZNOWOLA 20</v>
      </c>
      <c r="I8" s="23">
        <f t="shared" si="0"/>
        <v>7</v>
      </c>
      <c r="J8" s="23">
        <f t="shared" si="1"/>
        <v>2</v>
      </c>
      <c r="K8" s="23">
        <f t="shared" si="2"/>
        <v>5</v>
      </c>
      <c r="L8" s="23">
        <f t="shared" si="3"/>
        <v>57</v>
      </c>
      <c r="M8" s="23">
        <f t="shared" si="4"/>
        <v>64</v>
      </c>
      <c r="N8" s="23">
        <f t="shared" si="5"/>
        <v>-7</v>
      </c>
      <c r="O8" s="27">
        <f>IF(Tabela134[[#This Row],[STRACONE]]=0,0,Tabela134[[#This Row],[ZDOBYTE]]/Tabela134[[#This Row],[STRACONE]])</f>
        <v>0.890625</v>
      </c>
      <c r="P8" s="24">
        <f t="shared" si="6"/>
        <v>4</v>
      </c>
      <c r="S8" s="21" t="str">
        <f t="shared" si="7"/>
        <v>UKS LESZNOWOLA 20</v>
      </c>
      <c r="T8" s="16" cm="1">
        <f t="array" ref="T8">SUM((home=S8)*(ISNUMBER(homescore)),(visitor=S8)*(ISNUMBER(visitorscore)))</f>
        <v>7</v>
      </c>
      <c r="U8" s="3">
        <f t="array" ref="U8">SUM((home=S8)*(homescore&gt;visitorscore),(visitor=S8)*(visitorscore&gt;homescore))</f>
        <v>2</v>
      </c>
      <c r="V8" s="3">
        <f t="array" ref="V8">SUM((home=S8)*(homescore&lt;visitorscore),(visitor=S8)*(visitorscore&lt;homescore))</f>
        <v>5</v>
      </c>
      <c r="W8" s="17">
        <f t="shared" ref="W8" si="22">SUMIF(home,S8,homescore)+SUMIF(visitor,S8,visitorscore)</f>
        <v>57</v>
      </c>
      <c r="X8" s="18">
        <f t="shared" ref="X8" si="23">SUMIF(home,S8,visitorscore)+SUMIF(visitor,S8,homescore)</f>
        <v>64</v>
      </c>
      <c r="Y8" s="3">
        <f t="shared" si="12"/>
        <v>-7</v>
      </c>
      <c r="Z8" s="29">
        <f t="shared" si="13"/>
        <v>0.890625</v>
      </c>
      <c r="AA8" s="17">
        <f t="shared" si="14"/>
        <v>4</v>
      </c>
      <c r="AB8" s="19">
        <f t="shared" si="15"/>
        <v>399930947.625</v>
      </c>
    </row>
    <row r="9" spans="1:28">
      <c r="A9" s="20" t="s">
        <v>55</v>
      </c>
      <c r="H9" s="22" t="str" cm="1">
        <f t="array" ref="H9">INDEX($S$3:$S$10,MATCH(LARGE($AB$3:$AB$10-ROW($AB$3:$AB$10)/COUNT($AB$3:$AB$10),ROW(H9)-ROW(H$3)+1),$AB$3:$AB$10-ROW($AB$3:$AB$10)/COUNT($AB$3:$AB$10),0))</f>
        <v>RASZYN 8</v>
      </c>
      <c r="I9" s="23">
        <f t="shared" si="0"/>
        <v>7</v>
      </c>
      <c r="J9" s="23">
        <f t="shared" si="1"/>
        <v>2</v>
      </c>
      <c r="K9" s="23">
        <f t="shared" si="2"/>
        <v>5</v>
      </c>
      <c r="L9" s="23">
        <f t="shared" si="3"/>
        <v>41</v>
      </c>
      <c r="M9" s="23">
        <f t="shared" si="4"/>
        <v>56</v>
      </c>
      <c r="N9" s="23">
        <f t="shared" si="5"/>
        <v>-15</v>
      </c>
      <c r="O9" s="27">
        <f>IF(Tabela134[[#This Row],[STRACONE]]=0,0,Tabela134[[#This Row],[ZDOBYTE]]/Tabela134[[#This Row],[STRACONE]])</f>
        <v>0.7321428571428571</v>
      </c>
      <c r="P9" s="24">
        <f t="shared" si="6"/>
        <v>4</v>
      </c>
      <c r="S9" s="21" t="str">
        <f t="shared" si="7"/>
        <v>SPARTA WARSZAWA 2</v>
      </c>
      <c r="T9" s="16" cm="1">
        <f t="array" ref="T9">SUM((home=S9)*(ISNUMBER(homescore)),(visitor=S9)*(ISNUMBER(visitorscore)))</f>
        <v>7</v>
      </c>
      <c r="U9" s="3">
        <f t="array" ref="U9">SUM((home=S9)*(homescore&gt;visitorscore),(visitor=S9)*(visitorscore&gt;homescore))</f>
        <v>4</v>
      </c>
      <c r="V9" s="3">
        <f t="array" ref="V9">SUM((home=S9)*(homescore&lt;visitorscore),(visitor=S9)*(visitorscore&lt;homescore))</f>
        <v>3</v>
      </c>
      <c r="W9" s="17">
        <f t="shared" ref="W9" si="24">SUMIF(home,S9,homescore)+SUMIF(visitor,S9,visitorscore)</f>
        <v>63</v>
      </c>
      <c r="X9" s="18">
        <f t="shared" ref="X9" si="25">SUMIF(home,S9,visitorscore)+SUMIF(visitor,S9,homescore)</f>
        <v>51</v>
      </c>
      <c r="Y9" s="3">
        <f t="shared" si="12"/>
        <v>12</v>
      </c>
      <c r="Z9" s="29">
        <f t="shared" si="13"/>
        <v>1.2352941176470589</v>
      </c>
      <c r="AA9" s="17">
        <f t="shared" si="14"/>
        <v>8</v>
      </c>
      <c r="AB9" s="19">
        <f t="shared" si="15"/>
        <v>800121298.29411769</v>
      </c>
    </row>
    <row r="10" spans="1:28">
      <c r="A10" s="20" t="s">
        <v>56</v>
      </c>
      <c r="H10" s="22" t="str" cm="1">
        <f t="array" ref="H10">INDEX($S$3:$S$10,MATCH(LARGE($AB$3:$AB$10-ROW($AB$3:$AB$10)/COUNT($AB$3:$AB$10),ROW(H10)-ROW(H$3)+1),$AB$3:$AB$10-ROW($AB$3:$AB$10)/COUNT($AB$3:$AB$10),0))</f>
        <v>GLKS NADARZYN 10</v>
      </c>
      <c r="I10" s="23">
        <f t="shared" si="0"/>
        <v>7</v>
      </c>
      <c r="J10" s="23">
        <f t="shared" si="1"/>
        <v>0</v>
      </c>
      <c r="K10" s="23">
        <f t="shared" si="2"/>
        <v>7</v>
      </c>
      <c r="L10" s="23">
        <f t="shared" si="3"/>
        <v>0</v>
      </c>
      <c r="M10" s="23">
        <f t="shared" si="4"/>
        <v>77</v>
      </c>
      <c r="N10" s="23">
        <f t="shared" si="5"/>
        <v>-77</v>
      </c>
      <c r="O10" s="27">
        <f>IF(Tabela134[[#This Row],[STRACONE]]=0,0,Tabela134[[#This Row],[ZDOBYTE]]/Tabela134[[#This Row],[STRACONE]])</f>
        <v>0</v>
      </c>
      <c r="P10" s="24">
        <f t="shared" si="6"/>
        <v>0</v>
      </c>
      <c r="S10" s="21" t="str">
        <f t="shared" si="7"/>
        <v>GLKS NADARZYN 1</v>
      </c>
      <c r="T10" s="16" cm="1">
        <f t="array" ref="T10">SUM((home=S10)*(ISNUMBER(homescore)),(visitor=S10)*(ISNUMBER(visitorscore)))</f>
        <v>7</v>
      </c>
      <c r="U10" s="3">
        <f t="array" ref="U10">SUM((home=S10)*(homescore&gt;visitorscore),(visitor=S10)*(visitorscore&gt;homescore))</f>
        <v>6</v>
      </c>
      <c r="V10" s="3">
        <f t="array" ref="V10">SUM((home=S10)*(homescore&lt;visitorscore),(visitor=S10)*(visitorscore&lt;homescore))</f>
        <v>1</v>
      </c>
      <c r="W10" s="17">
        <f t="shared" ref="W10" si="26">SUMIF(home,S10,homescore)+SUMIF(visitor,S10,visitorscore)</f>
        <v>72</v>
      </c>
      <c r="X10" s="18">
        <f t="shared" ref="X10" si="27">SUMIF(home,S10,visitorscore)+SUMIF(visitor,S10,homescore)</f>
        <v>40</v>
      </c>
      <c r="Y10" s="3">
        <f t="shared" si="12"/>
        <v>32</v>
      </c>
      <c r="Z10" s="29">
        <f t="shared" si="13"/>
        <v>1.8</v>
      </c>
      <c r="AA10" s="17">
        <f t="shared" si="14"/>
        <v>12</v>
      </c>
      <c r="AB10" s="19">
        <f t="shared" si="15"/>
        <v>1200321872</v>
      </c>
    </row>
    <row r="11" spans="1:28">
      <c r="A11" s="20" t="s">
        <v>57</v>
      </c>
    </row>
    <row r="14" spans="1:28">
      <c r="A14" s="10" t="s">
        <v>27</v>
      </c>
      <c r="B14" s="10" t="s">
        <v>28</v>
      </c>
      <c r="H14" s="25"/>
    </row>
    <row r="15" spans="1:28">
      <c r="A15" s="26" t="str">
        <f>A4</f>
        <v>GLKS NADARZYN 5</v>
      </c>
      <c r="B15" s="26" t="str">
        <f>A11</f>
        <v>GLKS NADARZYN 1</v>
      </c>
      <c r="C15" s="13">
        <v>11</v>
      </c>
      <c r="D15" s="13" t="s">
        <v>29</v>
      </c>
      <c r="E15" s="13">
        <v>6</v>
      </c>
      <c r="F15" s="3"/>
    </row>
    <row r="16" spans="1:28">
      <c r="A16" s="26" t="str">
        <f>A5</f>
        <v>PRASKA 30 1</v>
      </c>
      <c r="B16" s="26" t="str">
        <f>A10</f>
        <v>SPARTA WARSZAWA 2</v>
      </c>
      <c r="C16" s="13">
        <v>11</v>
      </c>
      <c r="D16" s="13" t="s">
        <v>29</v>
      </c>
      <c r="E16" s="13">
        <v>8</v>
      </c>
      <c r="F16" s="3"/>
    </row>
    <row r="17" spans="1:29">
      <c r="A17" s="26" t="str">
        <f>A6</f>
        <v>GLKS NADARZYN 10</v>
      </c>
      <c r="B17" s="26" t="str">
        <f>A9</f>
        <v>UKS LESZNOWOLA 20</v>
      </c>
      <c r="C17" s="13">
        <v>0</v>
      </c>
      <c r="D17" s="13" t="s">
        <v>29</v>
      </c>
      <c r="E17" s="13">
        <v>11</v>
      </c>
      <c r="F17" s="3"/>
    </row>
    <row r="18" spans="1:29">
      <c r="A18" s="26" t="str">
        <f>A7</f>
        <v>RASZYN 8</v>
      </c>
      <c r="B18" s="26" t="str">
        <f>A8</f>
        <v>UKS LESZNOWOLA 8</v>
      </c>
      <c r="C18" s="13">
        <v>5</v>
      </c>
      <c r="D18" s="13" t="s">
        <v>29</v>
      </c>
      <c r="E18" s="13">
        <v>11</v>
      </c>
      <c r="F18" s="3"/>
    </row>
    <row r="19" spans="1:29">
      <c r="A19" s="26" t="str">
        <f>A11</f>
        <v>GLKS NADARZYN 1</v>
      </c>
      <c r="B19" s="26" t="str">
        <f>A8</f>
        <v>UKS LESZNOWOLA 8</v>
      </c>
      <c r="C19" s="13">
        <v>11</v>
      </c>
      <c r="D19" s="13" t="s">
        <v>29</v>
      </c>
      <c r="E19" s="13">
        <v>7</v>
      </c>
      <c r="F19" s="3" t="s">
        <v>30</v>
      </c>
    </row>
    <row r="20" spans="1:29" s="3" customFormat="1">
      <c r="A20" s="26" t="str">
        <f>A9</f>
        <v>UKS LESZNOWOLA 20</v>
      </c>
      <c r="B20" s="26" t="str">
        <f>A7</f>
        <v>RASZYN 8</v>
      </c>
      <c r="C20" s="13">
        <v>11</v>
      </c>
      <c r="D20" s="13" t="s">
        <v>29</v>
      </c>
      <c r="E20" s="13">
        <v>9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3" customFormat="1">
      <c r="A21" s="26" t="str">
        <f>A10</f>
        <v>SPARTA WARSZAWA 2</v>
      </c>
      <c r="B21" s="26" t="str">
        <f>A6</f>
        <v>GLKS NADARZYN 10</v>
      </c>
      <c r="C21" s="13">
        <v>11</v>
      </c>
      <c r="D21" s="13" t="s">
        <v>29</v>
      </c>
      <c r="E21" s="13">
        <v>0</v>
      </c>
      <c r="F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3" customFormat="1">
      <c r="A22" s="26" t="str">
        <f>A4</f>
        <v>GLKS NADARZYN 5</v>
      </c>
      <c r="B22" s="26" t="str">
        <f>A5</f>
        <v>PRASKA 30 1</v>
      </c>
      <c r="C22" s="13">
        <v>2</v>
      </c>
      <c r="D22" s="13" t="s">
        <v>29</v>
      </c>
      <c r="E22" s="13">
        <v>11</v>
      </c>
      <c r="F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3" customFormat="1">
      <c r="A23" s="26" t="str">
        <f>A5</f>
        <v>PRASKA 30 1</v>
      </c>
      <c r="B23" s="26" t="str">
        <f>A11</f>
        <v>GLKS NADARZYN 1</v>
      </c>
      <c r="C23" s="13">
        <v>10</v>
      </c>
      <c r="D23" s="13" t="s">
        <v>29</v>
      </c>
      <c r="E23" s="13">
        <v>11</v>
      </c>
      <c r="F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3" customFormat="1">
      <c r="A24" s="26" t="str">
        <f>A6</f>
        <v>GLKS NADARZYN 10</v>
      </c>
      <c r="B24" s="26" t="str">
        <f>A4</f>
        <v>GLKS NADARZYN 5</v>
      </c>
      <c r="C24" s="13">
        <v>0</v>
      </c>
      <c r="D24" s="13" t="s">
        <v>29</v>
      </c>
      <c r="E24" s="13">
        <v>11</v>
      </c>
      <c r="F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26" t="str">
        <f>A7</f>
        <v>RASZYN 8</v>
      </c>
      <c r="B25" s="26" t="str">
        <f>A10</f>
        <v>SPARTA WARSZAWA 2</v>
      </c>
      <c r="C25" s="13">
        <v>2</v>
      </c>
      <c r="D25" s="13" t="s">
        <v>29</v>
      </c>
      <c r="E25" s="13">
        <v>11</v>
      </c>
    </row>
    <row r="26" spans="1:29">
      <c r="A26" s="26" t="str">
        <f>A8</f>
        <v>UKS LESZNOWOLA 8</v>
      </c>
      <c r="B26" s="26" t="str">
        <f>A9</f>
        <v>UKS LESZNOWOLA 20</v>
      </c>
      <c r="C26" s="13">
        <v>11</v>
      </c>
      <c r="D26" s="13" t="s">
        <v>29</v>
      </c>
      <c r="E26" s="13">
        <v>10</v>
      </c>
    </row>
    <row r="27" spans="1:29">
      <c r="A27" s="26" t="str">
        <f>A11</f>
        <v>GLKS NADARZYN 1</v>
      </c>
      <c r="B27" s="26" t="str">
        <f>A9</f>
        <v>UKS LESZNOWOLA 20</v>
      </c>
      <c r="C27" s="13">
        <v>11</v>
      </c>
      <c r="D27" s="13" t="s">
        <v>29</v>
      </c>
      <c r="E27" s="13">
        <v>7</v>
      </c>
    </row>
    <row r="28" spans="1:29">
      <c r="A28" s="26" t="str">
        <f>A10</f>
        <v>SPARTA WARSZAWA 2</v>
      </c>
      <c r="B28" s="26" t="str">
        <f>A8</f>
        <v>UKS LESZNOWOLA 8</v>
      </c>
      <c r="C28" s="13">
        <v>9</v>
      </c>
      <c r="D28" s="13" t="s">
        <v>29</v>
      </c>
      <c r="E28" s="13">
        <v>11</v>
      </c>
    </row>
    <row r="29" spans="1:29">
      <c r="A29" s="26" t="str">
        <f t="shared" ref="A29:A34" si="28">A4</f>
        <v>GLKS NADARZYN 5</v>
      </c>
      <c r="B29" s="26" t="str">
        <f>A7</f>
        <v>RASZYN 8</v>
      </c>
      <c r="C29" s="13">
        <v>1</v>
      </c>
      <c r="D29" s="13" t="s">
        <v>29</v>
      </c>
      <c r="E29" s="13">
        <v>11</v>
      </c>
    </row>
    <row r="30" spans="1:29">
      <c r="A30" s="26" t="str">
        <f t="shared" si="28"/>
        <v>PRASKA 30 1</v>
      </c>
      <c r="B30" s="26" t="str">
        <f>A6</f>
        <v>GLKS NADARZYN 10</v>
      </c>
      <c r="C30" s="13">
        <v>11</v>
      </c>
      <c r="D30" s="13" t="s">
        <v>29</v>
      </c>
      <c r="E30" s="13">
        <v>0</v>
      </c>
    </row>
    <row r="31" spans="1:29">
      <c r="A31" s="26" t="str">
        <f t="shared" si="28"/>
        <v>GLKS NADARZYN 10</v>
      </c>
      <c r="B31" s="26" t="str">
        <f>A11</f>
        <v>GLKS NADARZYN 1</v>
      </c>
      <c r="C31" s="13">
        <v>0</v>
      </c>
      <c r="D31" s="13" t="s">
        <v>29</v>
      </c>
      <c r="E31" s="13">
        <v>11</v>
      </c>
    </row>
    <row r="32" spans="1:29">
      <c r="A32" s="26" t="str">
        <f t="shared" si="28"/>
        <v>RASZYN 8</v>
      </c>
      <c r="B32" s="26" t="str">
        <f>A5</f>
        <v>PRASKA 30 1</v>
      </c>
      <c r="C32" s="13">
        <v>0</v>
      </c>
      <c r="D32" s="13" t="s">
        <v>29</v>
      </c>
      <c r="E32" s="13">
        <v>11</v>
      </c>
    </row>
    <row r="33" spans="1:5">
      <c r="A33" s="26" t="str">
        <f t="shared" si="28"/>
        <v>UKS LESZNOWOLA 8</v>
      </c>
      <c r="B33" s="26" t="str">
        <f>A4</f>
        <v>GLKS NADARZYN 5</v>
      </c>
      <c r="C33" s="13">
        <v>8</v>
      </c>
      <c r="D33" s="13" t="s">
        <v>29</v>
      </c>
      <c r="E33" s="13">
        <v>11</v>
      </c>
    </row>
    <row r="34" spans="1:5">
      <c r="A34" s="26" t="str">
        <f t="shared" si="28"/>
        <v>UKS LESZNOWOLA 20</v>
      </c>
      <c r="B34" s="26" t="str">
        <f>A10</f>
        <v>SPARTA WARSZAWA 2</v>
      </c>
      <c r="C34" s="13">
        <v>6</v>
      </c>
      <c r="D34" s="13" t="s">
        <v>29</v>
      </c>
      <c r="E34" s="13">
        <v>11</v>
      </c>
    </row>
    <row r="35" spans="1:5">
      <c r="A35" s="26" t="str">
        <f>A11</f>
        <v>GLKS NADARZYN 1</v>
      </c>
      <c r="B35" s="26" t="str">
        <f>A10</f>
        <v>SPARTA WARSZAWA 2</v>
      </c>
      <c r="C35" s="13">
        <v>11</v>
      </c>
      <c r="D35" s="13" t="s">
        <v>29</v>
      </c>
      <c r="E35" s="13">
        <v>2</v>
      </c>
    </row>
    <row r="36" spans="1:5">
      <c r="A36" s="26" t="str">
        <f t="shared" ref="A36:A42" si="29">A4</f>
        <v>GLKS NADARZYN 5</v>
      </c>
      <c r="B36" s="26" t="str">
        <f>A9</f>
        <v>UKS LESZNOWOLA 20</v>
      </c>
      <c r="C36" s="13">
        <v>11</v>
      </c>
      <c r="D36" s="13" t="s">
        <v>29</v>
      </c>
      <c r="E36" s="13">
        <v>6</v>
      </c>
    </row>
    <row r="37" spans="1:5">
      <c r="A37" s="26" t="str">
        <f t="shared" si="29"/>
        <v>PRASKA 30 1</v>
      </c>
      <c r="B37" s="26" t="str">
        <f>A8</f>
        <v>UKS LESZNOWOLA 8</v>
      </c>
      <c r="C37" s="13">
        <v>11</v>
      </c>
      <c r="D37" s="13" t="s">
        <v>29</v>
      </c>
      <c r="E37" s="13">
        <v>6</v>
      </c>
    </row>
    <row r="38" spans="1:5">
      <c r="A38" s="26" t="str">
        <f t="shared" si="29"/>
        <v>GLKS NADARZYN 10</v>
      </c>
      <c r="B38" s="26" t="str">
        <f>A7</f>
        <v>RASZYN 8</v>
      </c>
      <c r="C38" s="13">
        <v>0</v>
      </c>
      <c r="D38" s="13" t="s">
        <v>29</v>
      </c>
      <c r="E38" s="13">
        <v>11</v>
      </c>
    </row>
    <row r="39" spans="1:5">
      <c r="A39" s="26" t="str">
        <f t="shared" si="29"/>
        <v>RASZYN 8</v>
      </c>
      <c r="B39" s="26" t="str">
        <f>A11</f>
        <v>GLKS NADARZYN 1</v>
      </c>
      <c r="C39" s="13">
        <v>3</v>
      </c>
      <c r="D39" s="13" t="s">
        <v>29</v>
      </c>
      <c r="E39" s="13">
        <v>11</v>
      </c>
    </row>
    <row r="40" spans="1:5">
      <c r="A40" s="26" t="str">
        <f t="shared" si="29"/>
        <v>UKS LESZNOWOLA 8</v>
      </c>
      <c r="B40" s="26" t="str">
        <f>A6</f>
        <v>GLKS NADARZYN 10</v>
      </c>
      <c r="C40" s="13">
        <v>11</v>
      </c>
      <c r="D40" s="13" t="s">
        <v>29</v>
      </c>
      <c r="E40" s="13">
        <v>0</v>
      </c>
    </row>
    <row r="41" spans="1:5">
      <c r="A41" s="26" t="str">
        <f t="shared" si="29"/>
        <v>UKS LESZNOWOLA 20</v>
      </c>
      <c r="B41" s="26" t="str">
        <f>A5</f>
        <v>PRASKA 30 1</v>
      </c>
      <c r="C41" s="13">
        <v>6</v>
      </c>
      <c r="D41" s="13" t="s">
        <v>29</v>
      </c>
      <c r="E41" s="13">
        <v>11</v>
      </c>
    </row>
    <row r="42" spans="1:5">
      <c r="A42" s="26" t="str">
        <f t="shared" si="29"/>
        <v>SPARTA WARSZAWA 2</v>
      </c>
      <c r="B42" s="26" t="str">
        <f>A4</f>
        <v>GLKS NADARZYN 5</v>
      </c>
      <c r="C42" s="13">
        <v>11</v>
      </c>
      <c r="D42" s="13" t="s">
        <v>29</v>
      </c>
      <c r="E42" s="13">
        <v>10</v>
      </c>
    </row>
  </sheetData>
  <autoFilter ref="A14:B42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0430-547F-4026-81D1-3E6B0481C889}">
  <dimension ref="A1:AC51"/>
  <sheetViews>
    <sheetView workbookViewId="0">
      <selection activeCell="H52" sqref="H52"/>
    </sheetView>
  </sheetViews>
  <sheetFormatPr defaultColWidth="8.85546875" defaultRowHeight="15"/>
  <cols>
    <col min="1" max="2" width="24" style="31" bestFit="1" customWidth="1"/>
    <col min="3" max="5" width="3.85546875" style="31" customWidth="1"/>
    <col min="6" max="6" width="8.28515625" style="31" customWidth="1"/>
    <col min="7" max="7" width="8.28515625" style="32" customWidth="1"/>
    <col min="8" max="8" width="24" style="32" bestFit="1" customWidth="1"/>
    <col min="9" max="9" width="11.7109375" style="32" customWidth="1"/>
    <col min="10" max="16" width="11.7109375" style="31" customWidth="1"/>
    <col min="17" max="17" width="11.42578125" style="31" customWidth="1"/>
    <col min="18" max="18" width="8.85546875" style="31" hidden="1" customWidth="1"/>
    <col min="19" max="26" width="9.140625" style="31" hidden="1" customWidth="1"/>
    <col min="27" max="27" width="7" style="31" hidden="1" customWidth="1"/>
    <col min="28" max="28" width="9.140625" style="31" hidden="1" customWidth="1"/>
    <col min="29" max="29" width="8.85546875" style="31" hidden="1" customWidth="1"/>
    <col min="30" max="16384" width="8.85546875" style="31"/>
  </cols>
  <sheetData>
    <row r="1" spans="1:28" ht="28.5">
      <c r="A1" s="30" t="s">
        <v>58</v>
      </c>
      <c r="S1" s="31" t="s">
        <v>1</v>
      </c>
      <c r="T1" s="31" t="b">
        <f>ROWS(homescore)-COUNT(homescore)=0</f>
        <v>1</v>
      </c>
    </row>
    <row r="2" spans="1:28">
      <c r="H2" s="33" t="s">
        <v>3</v>
      </c>
      <c r="I2" s="34" t="s">
        <v>4</v>
      </c>
      <c r="J2" s="34" t="s">
        <v>5</v>
      </c>
      <c r="K2" s="34" t="s">
        <v>6</v>
      </c>
      <c r="L2" s="34" t="s">
        <v>7</v>
      </c>
      <c r="M2" s="34" t="s">
        <v>8</v>
      </c>
      <c r="N2" s="34" t="s">
        <v>9</v>
      </c>
      <c r="O2" s="35" t="s">
        <v>10</v>
      </c>
      <c r="P2" s="35" t="s">
        <v>11</v>
      </c>
      <c r="T2" s="36" t="s">
        <v>4</v>
      </c>
      <c r="U2" s="37" t="s">
        <v>12</v>
      </c>
      <c r="V2" s="37" t="s">
        <v>13</v>
      </c>
      <c r="W2" s="38" t="s">
        <v>14</v>
      </c>
      <c r="X2" s="33" t="s">
        <v>15</v>
      </c>
      <c r="Y2" s="37" t="s">
        <v>16</v>
      </c>
      <c r="Z2" s="39" t="s">
        <v>17</v>
      </c>
      <c r="AA2" s="38" t="s">
        <v>13</v>
      </c>
      <c r="AB2" s="38" t="s">
        <v>18</v>
      </c>
    </row>
    <row r="3" spans="1:28">
      <c r="A3" s="40" t="s">
        <v>3</v>
      </c>
      <c r="B3" s="41"/>
      <c r="H3" s="42" t="str">
        <f t="array" ref="H3">INDEX($S$3:$S$11,MATCH(LARGE($AB$3:$AB$11-ROW($AB$3:$AB$11)/COUNT($AB$3:$AB$11),ROW(H3)-ROW(H$3)+1),$AB$3:$AB$11-ROW($AB$3:$AB$11)/COUNT($AB$3:$AB$11),0))</f>
        <v>DĘBINA NIEPORĘT 2</v>
      </c>
      <c r="I3" s="43">
        <f t="shared" ref="I3:I11" si="0">VLOOKUP($H3,$S$3:$AA$11,2,0)</f>
        <v>8</v>
      </c>
      <c r="J3" s="43">
        <f t="shared" ref="J3:J11" si="1">VLOOKUP($H3,$S$3:$AA$11,3,0)</f>
        <v>7</v>
      </c>
      <c r="K3" s="43">
        <f t="shared" ref="K3:K11" si="2">VLOOKUP($H3,$S$3:$AA$11,4,0)</f>
        <v>1</v>
      </c>
      <c r="L3" s="43">
        <f t="shared" ref="L3:L11" si="3">VLOOKUP($H3,$S$3:$AA$11,5,0)</f>
        <v>87</v>
      </c>
      <c r="M3" s="43">
        <f t="shared" ref="M3:M11" si="4">VLOOKUP($H3,$S$3:$AA$11,6,0)</f>
        <v>31</v>
      </c>
      <c r="N3" s="43">
        <f t="shared" ref="N3:N11" si="5">VLOOKUP($H3,$S$3:$AA$11,7,0)</f>
        <v>56</v>
      </c>
      <c r="O3" s="44">
        <f>IF(Tabela18914[[#This Row],[STRACONE]]=0,0,Tabela18914[[#This Row],[ZDOBYTE]]/Tabela18914[[#This Row],[STRACONE]])</f>
        <v>2.806451612903226</v>
      </c>
      <c r="P3" s="45">
        <f t="shared" ref="P3:P11" si="6">VLOOKUP($H3,$S$3:$AB$11,9,0)</f>
        <v>14</v>
      </c>
      <c r="S3" s="46" t="str">
        <f t="shared" ref="S3:S11" si="7">A4</f>
        <v>ORLĘTA RASZYN 3</v>
      </c>
      <c r="T3" s="47">
        <f t="array" ref="T3">SUM((home=S3)*(ISNUMBER(homescore)),(visitor=S3)*(ISNUMBER(visitorscore)))</f>
        <v>8</v>
      </c>
      <c r="U3" s="32">
        <f t="array" ref="U3">SUM((home=S3)*(homescore&gt;visitorscore),(visitor=S3)*(visitorscore&gt;homescore))</f>
        <v>4</v>
      </c>
      <c r="V3" s="32">
        <f t="array" ref="V3">SUM((home=S3)*(homescore&lt;visitorscore),(visitor=S3)*(visitorscore&lt;homescore))</f>
        <v>4</v>
      </c>
      <c r="W3" s="48">
        <f t="shared" ref="W3" si="8">SUMIF(home,S3,homescore)+SUMIF(visitor,S3,visitorscore)</f>
        <v>63</v>
      </c>
      <c r="X3" s="49">
        <f t="shared" ref="X3" si="9">SUMIF(home,S3,visitorscore)+SUMIF(visitor,S3,homescore)</f>
        <v>49</v>
      </c>
      <c r="Y3" s="32">
        <f>W3-X3</f>
        <v>14</v>
      </c>
      <c r="Z3" s="50">
        <f>IF(X3&gt;0,W3/X3,0)</f>
        <v>1.2857142857142858</v>
      </c>
      <c r="AA3" s="48">
        <f>2*U3</f>
        <v>8</v>
      </c>
      <c r="AB3" s="51">
        <f>W3+Z3*1000+Y3*10000+AA3*100000000</f>
        <v>800141348.71428573</v>
      </c>
    </row>
    <row r="4" spans="1:28">
      <c r="A4" s="52" t="s">
        <v>59</v>
      </c>
      <c r="H4" s="42" t="str">
        <f t="array" ref="H4">INDEX($S$3:$S$11,MATCH(LARGE($AB$3:$AB$11-ROW($AB$3:$AB$11)/COUNT($AB$3:$AB$11),ROW(H4)-ROW(H$3)+1),$AB$3:$AB$11-ROW($AB$3:$AB$11)/COUNT($AB$3:$AB$11),0))</f>
        <v>SPARTA GRODZISK MAZ. 6</v>
      </c>
      <c r="I4" s="43">
        <f t="shared" si="0"/>
        <v>8</v>
      </c>
      <c r="J4" s="43">
        <f t="shared" si="1"/>
        <v>7</v>
      </c>
      <c r="K4" s="43">
        <f t="shared" si="2"/>
        <v>1</v>
      </c>
      <c r="L4" s="43">
        <f t="shared" si="3"/>
        <v>84</v>
      </c>
      <c r="M4" s="43">
        <f t="shared" si="4"/>
        <v>34</v>
      </c>
      <c r="N4" s="43">
        <f t="shared" si="5"/>
        <v>50</v>
      </c>
      <c r="O4" s="44">
        <f>IF(Tabela18914[[#This Row],[STRACONE]]=0,0,Tabela18914[[#This Row],[ZDOBYTE]]/Tabela18914[[#This Row],[STRACONE]])</f>
        <v>2.4705882352941178</v>
      </c>
      <c r="P4" s="45">
        <f t="shared" si="6"/>
        <v>14</v>
      </c>
      <c r="S4" s="53" t="str">
        <f t="shared" si="7"/>
        <v>SPARTA GRODZISK MAZ. 6</v>
      </c>
      <c r="T4" s="47">
        <f t="array" ref="T4">SUM((home=S4)*(ISNUMBER(homescore)),(visitor=S4)*(ISNUMBER(visitorscore)))</f>
        <v>8</v>
      </c>
      <c r="U4" s="32">
        <f t="array" ref="U4">SUM((home=S4)*(homescore&gt;visitorscore),(visitor=S4)*(visitorscore&gt;homescore))</f>
        <v>7</v>
      </c>
      <c r="V4" s="32">
        <f t="array" ref="V4">SUM((home=S4)*(homescore&lt;visitorscore),(visitor=S4)*(visitorscore&lt;homescore))</f>
        <v>1</v>
      </c>
      <c r="W4" s="48">
        <f t="shared" ref="W4" si="10">SUMIF(home,S4,homescore)+SUMIF(visitor,S4,visitorscore)</f>
        <v>84</v>
      </c>
      <c r="X4" s="49">
        <f t="shared" ref="X4" si="11">SUMIF(home,S4,visitorscore)+SUMIF(visitor,S4,homescore)</f>
        <v>34</v>
      </c>
      <c r="Y4" s="32">
        <f t="shared" ref="Y4:Y11" si="12">W4-X4</f>
        <v>50</v>
      </c>
      <c r="Z4" s="50">
        <f t="shared" ref="Z4:Z11" si="13">IF(X4&gt;0,W4/X4,0)</f>
        <v>2.4705882352941178</v>
      </c>
      <c r="AA4" s="48">
        <f t="shared" ref="AA4:AA11" si="14">2*U4</f>
        <v>14</v>
      </c>
      <c r="AB4" s="51">
        <f t="shared" ref="AB4:AB11" si="15">W4+Z4*1000+Y4*10000+AA4*100000000</f>
        <v>1400502554.5882354</v>
      </c>
    </row>
    <row r="5" spans="1:28">
      <c r="A5" s="52" t="s">
        <v>60</v>
      </c>
      <c r="H5" s="42" t="str">
        <f t="array" ref="H5">INDEX($S$3:$S$11,MATCH(LARGE($AB$3:$AB$11-ROW($AB$3:$AB$11)/COUNT($AB$3:$AB$11),ROW(H5)-ROW(H$3)+1),$AB$3:$AB$11-ROW($AB$3:$AB$11)/COUNT($AB$3:$AB$11),0))</f>
        <v>ORLĘTA RASZYN 12</v>
      </c>
      <c r="I5" s="43">
        <f t="shared" si="0"/>
        <v>8</v>
      </c>
      <c r="J5" s="43">
        <f t="shared" si="1"/>
        <v>6</v>
      </c>
      <c r="K5" s="43">
        <f t="shared" si="2"/>
        <v>2</v>
      </c>
      <c r="L5" s="43">
        <f t="shared" si="3"/>
        <v>78</v>
      </c>
      <c r="M5" s="43">
        <f t="shared" si="4"/>
        <v>47</v>
      </c>
      <c r="N5" s="43">
        <f t="shared" si="5"/>
        <v>31</v>
      </c>
      <c r="O5" s="44">
        <f>IF(Tabela18914[[#This Row],[STRACONE]]=0,0,Tabela18914[[#This Row],[ZDOBYTE]]/Tabela18914[[#This Row],[STRACONE]])</f>
        <v>1.6595744680851063</v>
      </c>
      <c r="P5" s="45">
        <f t="shared" si="6"/>
        <v>12</v>
      </c>
      <c r="S5" s="53" t="str">
        <f t="shared" si="7"/>
        <v>ORLĘTA RASZYN 12</v>
      </c>
      <c r="T5" s="47">
        <f t="array" ref="T5">SUM((home=S5)*(ISNUMBER(homescore)),(visitor=S5)*(ISNUMBER(visitorscore)))</f>
        <v>8</v>
      </c>
      <c r="U5" s="32">
        <f t="array" ref="U5">SUM((home=S5)*(homescore&gt;visitorscore),(visitor=S5)*(visitorscore&gt;homescore))</f>
        <v>6</v>
      </c>
      <c r="V5" s="32">
        <f t="array" ref="V5">SUM((home=S5)*(homescore&lt;visitorscore),(visitor=S5)*(visitorscore&lt;homescore))</f>
        <v>2</v>
      </c>
      <c r="W5" s="48">
        <f t="shared" ref="W5" si="16">SUMIF(home,S5,homescore)+SUMIF(visitor,S5,visitorscore)</f>
        <v>78</v>
      </c>
      <c r="X5" s="49">
        <f t="shared" ref="X5" si="17">SUMIF(home,S5,visitorscore)+SUMIF(visitor,S5,homescore)</f>
        <v>47</v>
      </c>
      <c r="Y5" s="32">
        <f t="shared" si="12"/>
        <v>31</v>
      </c>
      <c r="Z5" s="50">
        <f t="shared" si="13"/>
        <v>1.6595744680851063</v>
      </c>
      <c r="AA5" s="48">
        <f t="shared" si="14"/>
        <v>12</v>
      </c>
      <c r="AB5" s="51">
        <f t="shared" si="15"/>
        <v>1200311737.5744681</v>
      </c>
    </row>
    <row r="6" spans="1:28">
      <c r="A6" s="52" t="s">
        <v>61</v>
      </c>
      <c r="H6" s="42" t="str">
        <f t="array" ref="H6">INDEX($S$3:$S$11,MATCH(LARGE($AB$3:$AB$11-ROW($AB$3:$AB$11)/COUNT($AB$3:$AB$11),ROW(H6)-ROW(H$3)+1),$AB$3:$AB$11-ROW($AB$3:$AB$11)/COUNT($AB$3:$AB$11),0))</f>
        <v>UKS LESZNOWOLA 23</v>
      </c>
      <c r="I6" s="43">
        <f t="shared" si="0"/>
        <v>8</v>
      </c>
      <c r="J6" s="43">
        <f t="shared" si="1"/>
        <v>5</v>
      </c>
      <c r="K6" s="43">
        <f t="shared" si="2"/>
        <v>3</v>
      </c>
      <c r="L6" s="43">
        <f t="shared" si="3"/>
        <v>78</v>
      </c>
      <c r="M6" s="43">
        <f t="shared" si="4"/>
        <v>43</v>
      </c>
      <c r="N6" s="43">
        <f t="shared" si="5"/>
        <v>35</v>
      </c>
      <c r="O6" s="44">
        <f>IF(Tabela18914[[#This Row],[STRACONE]]=0,0,Tabela18914[[#This Row],[ZDOBYTE]]/Tabela18914[[#This Row],[STRACONE]])</f>
        <v>1.8139534883720929</v>
      </c>
      <c r="P6" s="45">
        <f t="shared" si="6"/>
        <v>10</v>
      </c>
      <c r="S6" s="53" t="str">
        <f t="shared" si="7"/>
        <v>MUKS KRÓTKA 3</v>
      </c>
      <c r="T6" s="47">
        <f t="array" ref="T6">SUM((home=S6)*(ISNUMBER(homescore)),(visitor=S6)*(ISNUMBER(visitorscore)))</f>
        <v>8</v>
      </c>
      <c r="U6" s="32">
        <f t="array" ref="U6">SUM((home=S6)*(homescore&gt;visitorscore),(visitor=S6)*(visitorscore&gt;homescore))</f>
        <v>0</v>
      </c>
      <c r="V6" s="32">
        <f t="array" ref="V6">SUM((home=S6)*(homescore&lt;visitorscore),(visitor=S6)*(visitorscore&lt;homescore))</f>
        <v>7</v>
      </c>
      <c r="W6" s="48">
        <f t="shared" ref="W6" si="18">SUMIF(home,S6,homescore)+SUMIF(visitor,S6,visitorscore)</f>
        <v>0</v>
      </c>
      <c r="X6" s="49">
        <f t="shared" ref="X6" si="19">SUMIF(home,S6,visitorscore)+SUMIF(visitor,S6,homescore)</f>
        <v>77</v>
      </c>
      <c r="Y6" s="32">
        <f t="shared" si="12"/>
        <v>-77</v>
      </c>
      <c r="Z6" s="50">
        <f t="shared" si="13"/>
        <v>0</v>
      </c>
      <c r="AA6" s="48">
        <f t="shared" si="14"/>
        <v>0</v>
      </c>
      <c r="AB6" s="51">
        <f t="shared" si="15"/>
        <v>-770000</v>
      </c>
    </row>
    <row r="7" spans="1:28">
      <c r="A7" s="52" t="s">
        <v>62</v>
      </c>
      <c r="H7" s="42" t="str">
        <f t="array" ref="H7">INDEX($S$3:$S$11,MATCH(LARGE($AB$3:$AB$11-ROW($AB$3:$AB$11)/COUNT($AB$3:$AB$11),ROW(H7)-ROW(H$3)+1),$AB$3:$AB$11-ROW($AB$3:$AB$11)/COUNT($AB$3:$AB$11),0))</f>
        <v>ORLĘTA RASZYN 3</v>
      </c>
      <c r="I7" s="43">
        <f t="shared" si="0"/>
        <v>8</v>
      </c>
      <c r="J7" s="43">
        <f t="shared" si="1"/>
        <v>4</v>
      </c>
      <c r="K7" s="43">
        <f t="shared" si="2"/>
        <v>4</v>
      </c>
      <c r="L7" s="43">
        <f t="shared" si="3"/>
        <v>63</v>
      </c>
      <c r="M7" s="43">
        <f t="shared" si="4"/>
        <v>49</v>
      </c>
      <c r="N7" s="43">
        <f t="shared" si="5"/>
        <v>14</v>
      </c>
      <c r="O7" s="44">
        <f>IF(Tabela18914[[#This Row],[STRACONE]]=0,0,Tabela18914[[#This Row],[ZDOBYTE]]/Tabela18914[[#This Row],[STRACONE]])</f>
        <v>1.2857142857142858</v>
      </c>
      <c r="P7" s="45">
        <f t="shared" si="6"/>
        <v>8</v>
      </c>
      <c r="S7" s="53" t="str">
        <f t="shared" si="7"/>
        <v>UKS LESZNOWOLA 21</v>
      </c>
      <c r="T7" s="47">
        <f t="array" ref="T7">SUM((home=S7)*(ISNUMBER(homescore)),(visitor=S7)*(ISNUMBER(visitorscore)))</f>
        <v>8</v>
      </c>
      <c r="U7" s="32">
        <f t="array" ref="U7">SUM((home=S7)*(homescore&gt;visitorscore),(visitor=S7)*(visitorscore&gt;homescore))</f>
        <v>0</v>
      </c>
      <c r="V7" s="32">
        <f t="array" ref="V7">SUM((home=S7)*(homescore&lt;visitorscore),(visitor=S7)*(visitorscore&lt;homescore))</f>
        <v>6</v>
      </c>
      <c r="W7" s="48">
        <f t="shared" ref="W7" si="20">SUMIF(home,S7,homescore)+SUMIF(visitor,S7,visitorscore)</f>
        <v>0</v>
      </c>
      <c r="X7" s="49">
        <f t="shared" ref="X7" si="21">SUMIF(home,S7,visitorscore)+SUMIF(visitor,S7,homescore)</f>
        <v>66</v>
      </c>
      <c r="Y7" s="32">
        <f t="shared" si="12"/>
        <v>-66</v>
      </c>
      <c r="Z7" s="50">
        <f t="shared" si="13"/>
        <v>0</v>
      </c>
      <c r="AA7" s="48">
        <f t="shared" si="14"/>
        <v>0</v>
      </c>
      <c r="AB7" s="51">
        <f t="shared" si="15"/>
        <v>-660000</v>
      </c>
    </row>
    <row r="8" spans="1:28">
      <c r="A8" s="52" t="s">
        <v>63</v>
      </c>
      <c r="H8" s="42" t="str">
        <f t="array" ref="H8">INDEX($S$3:$S$11,MATCH(LARGE($AB$3:$AB$11-ROW($AB$3:$AB$11)/COUNT($AB$3:$AB$11),ROW(H8)-ROW(H$3)+1),$AB$3:$AB$11-ROW($AB$3:$AB$11)/COUNT($AB$3:$AB$11),0))</f>
        <v>OLIMP MIŃSK MAZ. 15</v>
      </c>
      <c r="I8" s="43">
        <f t="shared" si="0"/>
        <v>8</v>
      </c>
      <c r="J8" s="43">
        <f t="shared" si="1"/>
        <v>4</v>
      </c>
      <c r="K8" s="43">
        <f t="shared" si="2"/>
        <v>4</v>
      </c>
      <c r="L8" s="43">
        <f t="shared" si="3"/>
        <v>62</v>
      </c>
      <c r="M8" s="43">
        <f t="shared" si="4"/>
        <v>50</v>
      </c>
      <c r="N8" s="43">
        <f t="shared" si="5"/>
        <v>12</v>
      </c>
      <c r="O8" s="44">
        <f>IF(Tabela18914[[#This Row],[STRACONE]]=0,0,Tabela18914[[#This Row],[ZDOBYTE]]/Tabela18914[[#This Row],[STRACONE]])</f>
        <v>1.24</v>
      </c>
      <c r="P8" s="45">
        <f t="shared" si="6"/>
        <v>8</v>
      </c>
      <c r="S8" s="53" t="str">
        <f t="shared" si="7"/>
        <v>UKS LESZNOWOLA 23</v>
      </c>
      <c r="T8" s="47">
        <f t="array" ref="T8">SUM((home=S8)*(ISNUMBER(homescore)),(visitor=S8)*(ISNUMBER(visitorscore)))</f>
        <v>8</v>
      </c>
      <c r="U8" s="32">
        <f t="array" ref="U8">SUM((home=S8)*(homescore&gt;visitorscore),(visitor=S8)*(visitorscore&gt;homescore))</f>
        <v>5</v>
      </c>
      <c r="V8" s="32">
        <f t="array" ref="V8">SUM((home=S8)*(homescore&lt;visitorscore),(visitor=S8)*(visitorscore&lt;homescore))</f>
        <v>3</v>
      </c>
      <c r="W8" s="48">
        <f t="shared" ref="W8" si="22">SUMIF(home,S8,homescore)+SUMIF(visitor,S8,visitorscore)</f>
        <v>78</v>
      </c>
      <c r="X8" s="49">
        <f t="shared" ref="X8" si="23">SUMIF(home,S8,visitorscore)+SUMIF(visitor,S8,homescore)</f>
        <v>43</v>
      </c>
      <c r="Y8" s="32">
        <f t="shared" si="12"/>
        <v>35</v>
      </c>
      <c r="Z8" s="50">
        <f t="shared" si="13"/>
        <v>1.8139534883720929</v>
      </c>
      <c r="AA8" s="48">
        <f t="shared" si="14"/>
        <v>10</v>
      </c>
      <c r="AB8" s="51">
        <f t="shared" si="15"/>
        <v>1000351891.9534883</v>
      </c>
    </row>
    <row r="9" spans="1:28">
      <c r="A9" s="52" t="s">
        <v>64</v>
      </c>
      <c r="H9" s="42" t="str">
        <f t="array" ref="H9">INDEX($S$3:$S$11,MATCH(LARGE($AB$3:$AB$11-ROW($AB$3:$AB$11)/COUNT($AB$3:$AB$11),ROW(H9)-ROW(H$3)+1),$AB$3:$AB$11-ROW($AB$3:$AB$11)/COUNT($AB$3:$AB$11),0))</f>
        <v>SPARTA GRODZISK MAZ. 5</v>
      </c>
      <c r="I9" s="43">
        <f t="shared" si="0"/>
        <v>8</v>
      </c>
      <c r="J9" s="43">
        <f t="shared" si="1"/>
        <v>1</v>
      </c>
      <c r="K9" s="43">
        <f t="shared" si="2"/>
        <v>6</v>
      </c>
      <c r="L9" s="43">
        <f t="shared" si="3"/>
        <v>11</v>
      </c>
      <c r="M9" s="43">
        <f t="shared" si="4"/>
        <v>66</v>
      </c>
      <c r="N9" s="43">
        <f t="shared" si="5"/>
        <v>-55</v>
      </c>
      <c r="O9" s="44">
        <f>IF(Tabela18914[[#This Row],[STRACONE]]=0,0,Tabela18914[[#This Row],[ZDOBYTE]]/Tabela18914[[#This Row],[STRACONE]])</f>
        <v>0.16666666666666666</v>
      </c>
      <c r="P9" s="45">
        <f t="shared" si="6"/>
        <v>2</v>
      </c>
      <c r="S9" s="53" t="str">
        <f t="shared" si="7"/>
        <v>DĘBINA NIEPORĘT 2</v>
      </c>
      <c r="T9" s="47">
        <f t="array" ref="T9">SUM((home=S9)*(ISNUMBER(homescore)),(visitor=S9)*(ISNUMBER(visitorscore)))</f>
        <v>8</v>
      </c>
      <c r="U9" s="32">
        <f t="array" ref="U9">SUM((home=S9)*(homescore&gt;visitorscore),(visitor=S9)*(visitorscore&gt;homescore))</f>
        <v>7</v>
      </c>
      <c r="V9" s="32">
        <f t="array" ref="V9">SUM((home=S9)*(homescore&lt;visitorscore),(visitor=S9)*(visitorscore&lt;homescore))</f>
        <v>1</v>
      </c>
      <c r="W9" s="48">
        <f t="shared" ref="W9" si="24">SUMIF(home,S9,homescore)+SUMIF(visitor,S9,visitorscore)</f>
        <v>87</v>
      </c>
      <c r="X9" s="49">
        <f t="shared" ref="X9" si="25">SUMIF(home,S9,visitorscore)+SUMIF(visitor,S9,homescore)</f>
        <v>31</v>
      </c>
      <c r="Y9" s="32">
        <f t="shared" si="12"/>
        <v>56</v>
      </c>
      <c r="Z9" s="50">
        <f t="shared" si="13"/>
        <v>2.806451612903226</v>
      </c>
      <c r="AA9" s="48">
        <f t="shared" si="14"/>
        <v>14</v>
      </c>
      <c r="AB9" s="51">
        <f t="shared" si="15"/>
        <v>1400562893.4516129</v>
      </c>
    </row>
    <row r="10" spans="1:28">
      <c r="A10" s="52" t="s">
        <v>65</v>
      </c>
      <c r="H10" s="42" t="str">
        <f t="array" ref="H10">INDEX($S$3:$S$11,MATCH(LARGE($AB$3:$AB$11-ROW($AB$3:$AB$11)/COUNT($AB$3:$AB$11),ROW(H10)-ROW(H$3)+1),$AB$3:$AB$11-ROW($AB$3:$AB$11)/COUNT($AB$3:$AB$11),0))</f>
        <v>UKS LESZNOWOLA 21</v>
      </c>
      <c r="I10" s="43">
        <f t="shared" si="0"/>
        <v>8</v>
      </c>
      <c r="J10" s="43">
        <f t="shared" si="1"/>
        <v>0</v>
      </c>
      <c r="K10" s="43">
        <f t="shared" si="2"/>
        <v>6</v>
      </c>
      <c r="L10" s="43">
        <f t="shared" si="3"/>
        <v>0</v>
      </c>
      <c r="M10" s="43">
        <f t="shared" si="4"/>
        <v>66</v>
      </c>
      <c r="N10" s="43">
        <f t="shared" si="5"/>
        <v>-66</v>
      </c>
      <c r="O10" s="44">
        <f>IF(Tabela18914[[#This Row],[STRACONE]]=0,0,Tabela18914[[#This Row],[ZDOBYTE]]/Tabela18914[[#This Row],[STRACONE]])</f>
        <v>0</v>
      </c>
      <c r="P10" s="45">
        <f t="shared" si="6"/>
        <v>0</v>
      </c>
      <c r="S10" s="53" t="str">
        <f t="shared" si="7"/>
        <v>SPARTA GRODZISK MAZ. 5</v>
      </c>
      <c r="T10" s="47">
        <f t="array" ref="T10">SUM((home=S10)*(ISNUMBER(homescore)),(visitor=S10)*(ISNUMBER(visitorscore)))</f>
        <v>8</v>
      </c>
      <c r="U10" s="32">
        <f t="array" ref="U10">SUM((home=S10)*(homescore&gt;visitorscore),(visitor=S10)*(visitorscore&gt;homescore))</f>
        <v>1</v>
      </c>
      <c r="V10" s="32">
        <f t="array" ref="V10">SUM((home=S10)*(homescore&lt;visitorscore),(visitor=S10)*(visitorscore&lt;homescore))</f>
        <v>6</v>
      </c>
      <c r="W10" s="48">
        <f t="shared" ref="W10" si="26">SUMIF(home,S10,homescore)+SUMIF(visitor,S10,visitorscore)</f>
        <v>11</v>
      </c>
      <c r="X10" s="49">
        <f t="shared" ref="X10" si="27">SUMIF(home,S10,visitorscore)+SUMIF(visitor,S10,homescore)</f>
        <v>66</v>
      </c>
      <c r="Y10" s="32">
        <f t="shared" si="12"/>
        <v>-55</v>
      </c>
      <c r="Z10" s="50">
        <f t="shared" si="13"/>
        <v>0.16666666666666666</v>
      </c>
      <c r="AA10" s="48">
        <f t="shared" si="14"/>
        <v>2</v>
      </c>
      <c r="AB10" s="51">
        <f t="shared" si="15"/>
        <v>199450177.66666666</v>
      </c>
    </row>
    <row r="11" spans="1:28">
      <c r="A11" s="52" t="s">
        <v>66</v>
      </c>
      <c r="H11" s="42" t="str">
        <f t="array" ref="H11">INDEX($S$3:$S$11,MATCH(LARGE($AB$3:$AB$11-ROW($AB$3:$AB$11)/COUNT($AB$3:$AB$11),ROW(H11)-ROW(H$3)+1),$AB$3:$AB$11-ROW($AB$3:$AB$11)/COUNT($AB$3:$AB$11),0))</f>
        <v>MUKS KRÓTKA 3</v>
      </c>
      <c r="I11" s="43">
        <f t="shared" si="0"/>
        <v>8</v>
      </c>
      <c r="J11" s="43">
        <f t="shared" si="1"/>
        <v>0</v>
      </c>
      <c r="K11" s="43">
        <f t="shared" si="2"/>
        <v>7</v>
      </c>
      <c r="L11" s="43">
        <f t="shared" si="3"/>
        <v>0</v>
      </c>
      <c r="M11" s="43">
        <f t="shared" si="4"/>
        <v>77</v>
      </c>
      <c r="N11" s="43">
        <f t="shared" si="5"/>
        <v>-77</v>
      </c>
      <c r="O11" s="44">
        <f>IF(Tabela18914[[#This Row],[STRACONE]]=0,0,Tabela18914[[#This Row],[ZDOBYTE]]/Tabela18914[[#This Row],[STRACONE]])</f>
        <v>0</v>
      </c>
      <c r="P11" s="45">
        <f t="shared" si="6"/>
        <v>0</v>
      </c>
      <c r="S11" s="53" t="str">
        <f t="shared" si="7"/>
        <v>OLIMP MIŃSK MAZ. 15</v>
      </c>
      <c r="T11" s="47">
        <f t="array" ref="T11">SUM((home=S11)*(ISNUMBER(homescore)),(visitor=S11)*(ISNUMBER(visitorscore)))</f>
        <v>8</v>
      </c>
      <c r="U11" s="32">
        <f t="array" ref="U11">SUM((home=S11)*(homescore&gt;visitorscore),(visitor=S11)*(visitorscore&gt;homescore))</f>
        <v>4</v>
      </c>
      <c r="V11" s="32">
        <f t="array" ref="V11">SUM((home=S11)*(homescore&lt;visitorscore),(visitor=S11)*(visitorscore&lt;homescore))</f>
        <v>4</v>
      </c>
      <c r="W11" s="48">
        <f t="shared" ref="W11" si="28">SUMIF(home,S11,homescore)+SUMIF(visitor,S11,visitorscore)</f>
        <v>62</v>
      </c>
      <c r="X11" s="49">
        <f t="shared" ref="X11" si="29">SUMIF(home,S11,visitorscore)+SUMIF(visitor,S11,homescore)</f>
        <v>50</v>
      </c>
      <c r="Y11" s="32">
        <f t="shared" si="12"/>
        <v>12</v>
      </c>
      <c r="Z11" s="50">
        <f t="shared" si="13"/>
        <v>1.24</v>
      </c>
      <c r="AA11" s="48">
        <f t="shared" si="14"/>
        <v>8</v>
      </c>
      <c r="AB11" s="51">
        <f t="shared" si="15"/>
        <v>800121302</v>
      </c>
    </row>
    <row r="12" spans="1:28">
      <c r="A12" s="78" t="s">
        <v>67</v>
      </c>
    </row>
    <row r="15" spans="1:28">
      <c r="A15" s="40" t="s">
        <v>27</v>
      </c>
      <c r="B15" s="40" t="s">
        <v>68</v>
      </c>
      <c r="H15" s="54"/>
    </row>
    <row r="16" spans="1:28">
      <c r="A16" s="26" t="str">
        <f>A5</f>
        <v>SPARTA GRODZISK MAZ. 6</v>
      </c>
      <c r="B16" s="26" t="str">
        <f>A12</f>
        <v>OLIMP MIŃSK MAZ. 15</v>
      </c>
      <c r="C16" s="43">
        <v>11</v>
      </c>
      <c r="D16" s="43" t="s">
        <v>29</v>
      </c>
      <c r="E16" s="43">
        <v>2</v>
      </c>
      <c r="F16" s="32"/>
    </row>
    <row r="17" spans="1:29">
      <c r="A17" s="26" t="str">
        <f>A6</f>
        <v>ORLĘTA RASZYN 12</v>
      </c>
      <c r="B17" s="26" t="str">
        <f>A11</f>
        <v>SPARTA GRODZISK MAZ. 5</v>
      </c>
      <c r="C17" s="43">
        <v>11</v>
      </c>
      <c r="D17" s="43" t="s">
        <v>29</v>
      </c>
      <c r="E17" s="43">
        <v>0</v>
      </c>
      <c r="F17" s="32"/>
    </row>
    <row r="18" spans="1:29">
      <c r="A18" s="26" t="str">
        <f>A7</f>
        <v>MUKS KRÓTKA 3</v>
      </c>
      <c r="B18" s="26" t="str">
        <f>A10</f>
        <v>DĘBINA NIEPORĘT 2</v>
      </c>
      <c r="C18" s="43">
        <v>0</v>
      </c>
      <c r="D18" s="43" t="s">
        <v>29</v>
      </c>
      <c r="E18" s="43">
        <v>11</v>
      </c>
      <c r="F18" s="32"/>
    </row>
    <row r="19" spans="1:29">
      <c r="A19" s="26" t="str">
        <f>A8</f>
        <v>UKS LESZNOWOLA 21</v>
      </c>
      <c r="B19" s="26" t="str">
        <f>A9</f>
        <v>UKS LESZNOWOLA 23</v>
      </c>
      <c r="C19" s="43">
        <v>0</v>
      </c>
      <c r="D19" s="43" t="s">
        <v>29</v>
      </c>
      <c r="E19" s="43">
        <v>11</v>
      </c>
      <c r="F19" s="32"/>
    </row>
    <row r="20" spans="1:29">
      <c r="A20" s="26" t="str">
        <f>A10</f>
        <v>DĘBINA NIEPORĘT 2</v>
      </c>
      <c r="B20" s="26" t="str">
        <f>A8</f>
        <v>UKS LESZNOWOLA 21</v>
      </c>
      <c r="C20" s="43">
        <v>11</v>
      </c>
      <c r="D20" s="43" t="s">
        <v>29</v>
      </c>
      <c r="E20" s="43">
        <v>0</v>
      </c>
      <c r="F20" s="32" t="s">
        <v>30</v>
      </c>
    </row>
    <row r="21" spans="1:29" s="32" customFormat="1">
      <c r="A21" s="26" t="str">
        <f>A11</f>
        <v>SPARTA GRODZISK MAZ. 5</v>
      </c>
      <c r="B21" s="26" t="str">
        <f>A7</f>
        <v>MUKS KRÓTKA 3</v>
      </c>
      <c r="C21" s="43">
        <v>11</v>
      </c>
      <c r="D21" s="43" t="s">
        <v>29</v>
      </c>
      <c r="E21" s="43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s="32" customFormat="1">
      <c r="A22" s="26" t="str">
        <f>A12</f>
        <v>OLIMP MIŃSK MAZ. 15</v>
      </c>
      <c r="B22" s="26" t="str">
        <f>A6</f>
        <v>ORLĘTA RASZYN 12</v>
      </c>
      <c r="C22" s="43">
        <v>7</v>
      </c>
      <c r="D22" s="43" t="s">
        <v>29</v>
      </c>
      <c r="E22" s="43">
        <v>11</v>
      </c>
      <c r="F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s="32" customFormat="1">
      <c r="A23" s="26" t="str">
        <f>A4</f>
        <v>ORLĘTA RASZYN 3</v>
      </c>
      <c r="B23" s="26" t="str">
        <f>A5</f>
        <v>SPARTA GRODZISK MAZ. 6</v>
      </c>
      <c r="C23" s="43">
        <v>2</v>
      </c>
      <c r="D23" s="43" t="s">
        <v>29</v>
      </c>
      <c r="E23" s="43">
        <v>11</v>
      </c>
      <c r="F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s="32" customFormat="1">
      <c r="A24" s="26" t="str">
        <f>A6</f>
        <v>ORLĘTA RASZYN 12</v>
      </c>
      <c r="B24" s="26" t="str">
        <f>A4</f>
        <v>ORLĘTA RASZYN 3</v>
      </c>
      <c r="C24" s="43">
        <v>11</v>
      </c>
      <c r="D24" s="43" t="s">
        <v>29</v>
      </c>
      <c r="E24" s="43">
        <v>8</v>
      </c>
      <c r="F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s="32" customFormat="1">
      <c r="A25" s="26" t="str">
        <f>A7</f>
        <v>MUKS KRÓTKA 3</v>
      </c>
      <c r="B25" s="26" t="str">
        <f>A12</f>
        <v>OLIMP MIŃSK MAZ. 15</v>
      </c>
      <c r="C25" s="43">
        <v>0</v>
      </c>
      <c r="D25" s="43" t="s">
        <v>29</v>
      </c>
      <c r="E25" s="43">
        <v>11</v>
      </c>
      <c r="F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>
      <c r="A26" s="26" t="str">
        <f>A8</f>
        <v>UKS LESZNOWOLA 21</v>
      </c>
      <c r="B26" s="26" t="str">
        <f>A11</f>
        <v>SPARTA GRODZISK MAZ. 5</v>
      </c>
      <c r="C26" s="43">
        <v>0</v>
      </c>
      <c r="D26" s="43" t="s">
        <v>29</v>
      </c>
      <c r="E26" s="43">
        <v>0</v>
      </c>
    </row>
    <row r="27" spans="1:29">
      <c r="A27" s="26" t="str">
        <f>A9</f>
        <v>UKS LESZNOWOLA 23</v>
      </c>
      <c r="B27" s="26" t="str">
        <f>A10</f>
        <v>DĘBINA NIEPORĘT 2</v>
      </c>
      <c r="C27" s="43">
        <v>8</v>
      </c>
      <c r="D27" s="43" t="s">
        <v>29</v>
      </c>
      <c r="E27" s="43">
        <v>11</v>
      </c>
    </row>
    <row r="28" spans="1:29">
      <c r="A28" s="26" t="str">
        <f>A12</f>
        <v>OLIMP MIŃSK MAZ. 15</v>
      </c>
      <c r="B28" s="26" t="str">
        <f>A8</f>
        <v>UKS LESZNOWOLA 21</v>
      </c>
      <c r="C28" s="43">
        <v>11</v>
      </c>
      <c r="D28" s="43" t="s">
        <v>29</v>
      </c>
      <c r="E28" s="43">
        <v>0</v>
      </c>
    </row>
    <row r="29" spans="1:29">
      <c r="A29" s="26" t="str">
        <f>A11</f>
        <v>SPARTA GRODZISK MAZ. 5</v>
      </c>
      <c r="B29" s="26" t="str">
        <f>A9</f>
        <v>UKS LESZNOWOLA 23</v>
      </c>
      <c r="C29" s="43">
        <v>0</v>
      </c>
      <c r="D29" s="43" t="s">
        <v>29</v>
      </c>
      <c r="E29" s="43">
        <v>11</v>
      </c>
    </row>
    <row r="30" spans="1:29">
      <c r="A30" s="26" t="str">
        <f>A4</f>
        <v>ORLĘTA RASZYN 3</v>
      </c>
      <c r="B30" s="26" t="str">
        <f>A7</f>
        <v>MUKS KRÓTKA 3</v>
      </c>
      <c r="C30" s="43">
        <v>11</v>
      </c>
      <c r="D30" s="43" t="s">
        <v>29</v>
      </c>
      <c r="E30" s="43">
        <v>0</v>
      </c>
    </row>
    <row r="31" spans="1:29">
      <c r="A31" s="26" t="str">
        <f>A5</f>
        <v>SPARTA GRODZISK MAZ. 6</v>
      </c>
      <c r="B31" s="26" t="str">
        <f>A6</f>
        <v>ORLĘTA RASZYN 12</v>
      </c>
      <c r="C31" s="43">
        <v>11</v>
      </c>
      <c r="D31" s="43" t="s">
        <v>29</v>
      </c>
      <c r="E31" s="43">
        <v>9</v>
      </c>
    </row>
    <row r="32" spans="1:29">
      <c r="A32" s="26" t="str">
        <f>A7</f>
        <v>MUKS KRÓTKA 3</v>
      </c>
      <c r="B32" s="26" t="str">
        <f>A5</f>
        <v>SPARTA GRODZISK MAZ. 6</v>
      </c>
      <c r="C32" s="43">
        <v>0</v>
      </c>
      <c r="D32" s="43" t="s">
        <v>29</v>
      </c>
      <c r="E32" s="43">
        <v>11</v>
      </c>
    </row>
    <row r="33" spans="1:5">
      <c r="A33" s="26" t="str">
        <f>A8</f>
        <v>UKS LESZNOWOLA 21</v>
      </c>
      <c r="B33" s="26" t="str">
        <f>A4</f>
        <v>ORLĘTA RASZYN 3</v>
      </c>
      <c r="C33" s="43">
        <v>0</v>
      </c>
      <c r="D33" s="43" t="s">
        <v>29</v>
      </c>
      <c r="E33" s="43">
        <v>11</v>
      </c>
    </row>
    <row r="34" spans="1:5">
      <c r="A34" s="26" t="str">
        <f>A9</f>
        <v>UKS LESZNOWOLA 23</v>
      </c>
      <c r="B34" s="26" t="str">
        <f>A12</f>
        <v>OLIMP MIŃSK MAZ. 15</v>
      </c>
      <c r="C34" s="43">
        <v>11</v>
      </c>
      <c r="D34" s="43" t="s">
        <v>29</v>
      </c>
      <c r="E34" s="43">
        <v>3</v>
      </c>
    </row>
    <row r="35" spans="1:5">
      <c r="A35" s="26" t="str">
        <f>A10</f>
        <v>DĘBINA NIEPORĘT 2</v>
      </c>
      <c r="B35" s="26" t="str">
        <f>A11</f>
        <v>SPARTA GRODZISK MAZ. 5</v>
      </c>
      <c r="C35" s="43">
        <v>11</v>
      </c>
      <c r="D35" s="43" t="s">
        <v>29</v>
      </c>
      <c r="E35" s="43">
        <v>0</v>
      </c>
    </row>
    <row r="36" spans="1:5">
      <c r="A36" s="26" t="str">
        <f>A12</f>
        <v>OLIMP MIŃSK MAZ. 15</v>
      </c>
      <c r="B36" s="26" t="str">
        <f>A10</f>
        <v>DĘBINA NIEPORĘT 2</v>
      </c>
      <c r="C36" s="43">
        <v>6</v>
      </c>
      <c r="D36" s="43" t="s">
        <v>29</v>
      </c>
      <c r="E36" s="43">
        <v>11</v>
      </c>
    </row>
    <row r="37" spans="1:5">
      <c r="A37" s="26" t="str">
        <f>A4</f>
        <v>ORLĘTA RASZYN 3</v>
      </c>
      <c r="B37" s="26" t="str">
        <f>A9</f>
        <v>UKS LESZNOWOLA 23</v>
      </c>
      <c r="C37" s="43">
        <v>11</v>
      </c>
      <c r="D37" s="43" t="s">
        <v>29</v>
      </c>
      <c r="E37" s="43">
        <v>5</v>
      </c>
    </row>
    <row r="38" spans="1:5">
      <c r="A38" s="26" t="str">
        <f>A5</f>
        <v>SPARTA GRODZISK MAZ. 6</v>
      </c>
      <c r="B38" s="26" t="str">
        <f>A8</f>
        <v>UKS LESZNOWOLA 21</v>
      </c>
      <c r="C38" s="43">
        <v>11</v>
      </c>
      <c r="D38" s="43" t="s">
        <v>29</v>
      </c>
      <c r="E38" s="43">
        <v>0</v>
      </c>
    </row>
    <row r="39" spans="1:5">
      <c r="A39" s="26" t="str">
        <f>A6</f>
        <v>ORLĘTA RASZYN 12</v>
      </c>
      <c r="B39" s="26" t="str">
        <f>A7</f>
        <v>MUKS KRÓTKA 3</v>
      </c>
      <c r="C39" s="43">
        <v>11</v>
      </c>
      <c r="D39" s="43" t="s">
        <v>29</v>
      </c>
      <c r="E39" s="43">
        <v>0</v>
      </c>
    </row>
    <row r="40" spans="1:5">
      <c r="A40" s="26" t="str">
        <f>A8</f>
        <v>UKS LESZNOWOLA 21</v>
      </c>
      <c r="B40" s="26" t="str">
        <f>A6</f>
        <v>ORLĘTA RASZYN 12</v>
      </c>
      <c r="C40" s="43">
        <v>0</v>
      </c>
      <c r="D40" s="43" t="s">
        <v>29</v>
      </c>
      <c r="E40" s="43">
        <v>11</v>
      </c>
    </row>
    <row r="41" spans="1:5">
      <c r="A41" s="26" t="str">
        <f>A9</f>
        <v>UKS LESZNOWOLA 23</v>
      </c>
      <c r="B41" s="26" t="str">
        <f>A5</f>
        <v>SPARTA GRODZISK MAZ. 6</v>
      </c>
      <c r="C41" s="43">
        <v>11</v>
      </c>
      <c r="D41" s="43" t="s">
        <v>29</v>
      </c>
      <c r="E41" s="43">
        <v>7</v>
      </c>
    </row>
    <row r="42" spans="1:5">
      <c r="A42" s="26" t="str">
        <f>A10</f>
        <v>DĘBINA NIEPORĘT 2</v>
      </c>
      <c r="B42" s="26" t="str">
        <f>A4</f>
        <v>ORLĘTA RASZYN 3</v>
      </c>
      <c r="C42" s="43">
        <v>11</v>
      </c>
      <c r="D42" s="43" t="s">
        <v>29</v>
      </c>
      <c r="E42" s="43">
        <v>3</v>
      </c>
    </row>
    <row r="43" spans="1:5">
      <c r="A43" s="26" t="str">
        <f>A11</f>
        <v>SPARTA GRODZISK MAZ. 5</v>
      </c>
      <c r="B43" s="26" t="str">
        <f>A12</f>
        <v>OLIMP MIŃSK MAZ. 15</v>
      </c>
      <c r="C43" s="43">
        <v>0</v>
      </c>
      <c r="D43" s="43" t="s">
        <v>29</v>
      </c>
      <c r="E43" s="43">
        <v>11</v>
      </c>
    </row>
    <row r="44" spans="1:5">
      <c r="A44" s="26" t="str">
        <f>A4</f>
        <v>ORLĘTA RASZYN 3</v>
      </c>
      <c r="B44" s="26" t="str">
        <f>A11</f>
        <v>SPARTA GRODZISK MAZ. 5</v>
      </c>
      <c r="C44" s="43">
        <v>11</v>
      </c>
      <c r="D44" s="43" t="s">
        <v>29</v>
      </c>
      <c r="E44" s="43">
        <v>0</v>
      </c>
    </row>
    <row r="45" spans="1:5">
      <c r="A45" s="26" t="str">
        <f>A5</f>
        <v>SPARTA GRODZISK MAZ. 6</v>
      </c>
      <c r="B45" s="26" t="str">
        <f>A10</f>
        <v>DĘBINA NIEPORĘT 2</v>
      </c>
      <c r="C45" s="43">
        <v>11</v>
      </c>
      <c r="D45" s="43" t="s">
        <v>29</v>
      </c>
      <c r="E45" s="43">
        <v>10</v>
      </c>
    </row>
    <row r="46" spans="1:5">
      <c r="A46" s="26" t="str">
        <f>A6</f>
        <v>ORLĘTA RASZYN 12</v>
      </c>
      <c r="B46" s="26" t="str">
        <f>A9</f>
        <v>UKS LESZNOWOLA 23</v>
      </c>
      <c r="C46" s="43">
        <v>11</v>
      </c>
      <c r="D46" s="43" t="s">
        <v>29</v>
      </c>
      <c r="E46" s="43">
        <v>10</v>
      </c>
    </row>
    <row r="47" spans="1:5">
      <c r="A47" s="26" t="str">
        <f>A7</f>
        <v>MUKS KRÓTKA 3</v>
      </c>
      <c r="B47" s="26" t="str">
        <f>A8</f>
        <v>UKS LESZNOWOLA 21</v>
      </c>
      <c r="C47" s="43">
        <v>0</v>
      </c>
      <c r="D47" s="43" t="s">
        <v>29</v>
      </c>
      <c r="E47" s="43">
        <v>0</v>
      </c>
    </row>
    <row r="48" spans="1:5">
      <c r="A48" s="26" t="str">
        <f>A9</f>
        <v>UKS LESZNOWOLA 23</v>
      </c>
      <c r="B48" s="26" t="str">
        <f>A7</f>
        <v>MUKS KRÓTKA 3</v>
      </c>
      <c r="C48" s="43">
        <v>11</v>
      </c>
      <c r="D48" s="43" t="s">
        <v>29</v>
      </c>
      <c r="E48" s="43">
        <v>0</v>
      </c>
    </row>
    <row r="49" spans="1:5">
      <c r="A49" s="26" t="str">
        <f>A10</f>
        <v>DĘBINA NIEPORĘT 2</v>
      </c>
      <c r="B49" s="26" t="str">
        <f>A6</f>
        <v>ORLĘTA RASZYN 12</v>
      </c>
      <c r="C49" s="43">
        <v>11</v>
      </c>
      <c r="D49" s="43" t="s">
        <v>29</v>
      </c>
      <c r="E49" s="43">
        <v>3</v>
      </c>
    </row>
    <row r="50" spans="1:5">
      <c r="A50" s="26" t="str">
        <f>A11</f>
        <v>SPARTA GRODZISK MAZ. 5</v>
      </c>
      <c r="B50" s="26" t="str">
        <f>A5</f>
        <v>SPARTA GRODZISK MAZ. 6</v>
      </c>
      <c r="C50" s="43">
        <v>0</v>
      </c>
      <c r="D50" s="43" t="s">
        <v>29</v>
      </c>
      <c r="E50" s="43">
        <v>11</v>
      </c>
    </row>
    <row r="51" spans="1:5">
      <c r="A51" s="26" t="str">
        <f>A12</f>
        <v>OLIMP MIŃSK MAZ. 15</v>
      </c>
      <c r="B51" s="26" t="str">
        <f>A4</f>
        <v>ORLĘTA RASZYN 3</v>
      </c>
      <c r="C51" s="43">
        <v>11</v>
      </c>
      <c r="D51" s="43" t="s">
        <v>29</v>
      </c>
      <c r="E51" s="43">
        <v>6</v>
      </c>
    </row>
  </sheetData>
  <autoFilter ref="A15:B5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A6C61-D313-4770-8A29-08C37F1B4A2E}">
  <dimension ref="A1:AC51"/>
  <sheetViews>
    <sheetView workbookViewId="0">
      <selection activeCell="G48" sqref="G48"/>
    </sheetView>
  </sheetViews>
  <sheetFormatPr defaultColWidth="8.85546875" defaultRowHeight="15"/>
  <cols>
    <col min="1" max="2" width="21.28515625" style="31" bestFit="1" customWidth="1"/>
    <col min="3" max="5" width="3.85546875" style="31" customWidth="1"/>
    <col min="6" max="6" width="8.28515625" style="31" customWidth="1"/>
    <col min="7" max="7" width="8.28515625" style="32" customWidth="1"/>
    <col min="8" max="8" width="20.7109375" style="32" bestFit="1" customWidth="1"/>
    <col min="9" max="9" width="11.7109375" style="32" customWidth="1"/>
    <col min="10" max="16" width="11.7109375" style="31" customWidth="1"/>
    <col min="17" max="17" width="11.42578125" style="31" customWidth="1"/>
    <col min="18" max="18" width="8.85546875" style="31" hidden="1" customWidth="1"/>
    <col min="19" max="26" width="9.140625" style="31" hidden="1" customWidth="1"/>
    <col min="27" max="27" width="7" style="31" hidden="1" customWidth="1"/>
    <col min="28" max="28" width="9.140625" style="31" hidden="1" customWidth="1"/>
    <col min="29" max="29" width="8.85546875" style="31" hidden="1" customWidth="1"/>
    <col min="30" max="16384" width="8.85546875" style="31"/>
  </cols>
  <sheetData>
    <row r="1" spans="1:28" ht="28.5">
      <c r="A1" s="30" t="s">
        <v>69</v>
      </c>
      <c r="S1" s="31" t="s">
        <v>1</v>
      </c>
      <c r="T1" s="31" t="b">
        <f>ROWS(homescore)-COUNT(homescore)=0</f>
        <v>1</v>
      </c>
    </row>
    <row r="2" spans="1:28">
      <c r="H2" s="33" t="s">
        <v>3</v>
      </c>
      <c r="I2" s="34" t="s">
        <v>4</v>
      </c>
      <c r="J2" s="34" t="s">
        <v>5</v>
      </c>
      <c r="K2" s="34" t="s">
        <v>6</v>
      </c>
      <c r="L2" s="34" t="s">
        <v>7</v>
      </c>
      <c r="M2" s="34" t="s">
        <v>8</v>
      </c>
      <c r="N2" s="34" t="s">
        <v>9</v>
      </c>
      <c r="O2" s="35" t="s">
        <v>10</v>
      </c>
      <c r="P2" s="35" t="s">
        <v>11</v>
      </c>
      <c r="T2" s="36" t="s">
        <v>4</v>
      </c>
      <c r="U2" s="37" t="s">
        <v>12</v>
      </c>
      <c r="V2" s="37" t="s">
        <v>13</v>
      </c>
      <c r="W2" s="38" t="s">
        <v>14</v>
      </c>
      <c r="X2" s="33" t="s">
        <v>15</v>
      </c>
      <c r="Y2" s="37" t="s">
        <v>16</v>
      </c>
      <c r="Z2" s="39" t="s">
        <v>17</v>
      </c>
      <c r="AA2" s="38" t="s">
        <v>13</v>
      </c>
      <c r="AB2" s="38" t="s">
        <v>18</v>
      </c>
    </row>
    <row r="3" spans="1:28">
      <c r="A3" s="40" t="s">
        <v>3</v>
      </c>
      <c r="B3" s="41"/>
      <c r="H3" s="42" t="str">
        <f t="array" ref="H3">INDEX($S$3:$S$11,MATCH(LARGE($AB$3:$AB$11-ROW($AB$3:$AB$11)/COUNT($AB$3:$AB$11),ROW(H3)-ROW(H$3)+1),$AB$3:$AB$11-ROW($AB$3:$AB$11)/COUNT($AB$3:$AB$11),0))</f>
        <v>MUKS KRÓTKA 2</v>
      </c>
      <c r="I3" s="43">
        <f t="shared" ref="I3:I11" si="0">VLOOKUP($H3,$S$3:$AA$11,2,0)</f>
        <v>8</v>
      </c>
      <c r="J3" s="43">
        <f t="shared" ref="J3:J11" si="1">VLOOKUP($H3,$S$3:$AA$11,3,0)</f>
        <v>7</v>
      </c>
      <c r="K3" s="43">
        <f t="shared" ref="K3:K11" si="2">VLOOKUP($H3,$S$3:$AA$11,4,0)</f>
        <v>1</v>
      </c>
      <c r="L3" s="43">
        <f t="shared" ref="L3:L11" si="3">VLOOKUP($H3,$S$3:$AA$11,5,0)</f>
        <v>87</v>
      </c>
      <c r="M3" s="43">
        <f t="shared" ref="M3:M11" si="4">VLOOKUP($H3,$S$3:$AA$11,6,0)</f>
        <v>38</v>
      </c>
      <c r="N3" s="43">
        <f t="shared" ref="N3:N11" si="5">VLOOKUP($H3,$S$3:$AA$11,7,0)</f>
        <v>49</v>
      </c>
      <c r="O3" s="44">
        <f>IF(Tabela1891415[[#This Row],[STRACONE]]=0,0,Tabela1891415[[#This Row],[ZDOBYTE]]/Tabela1891415[[#This Row],[STRACONE]])</f>
        <v>2.2894736842105261</v>
      </c>
      <c r="P3" s="45">
        <f t="shared" ref="P3:P11" si="6">VLOOKUP($H3,$S$3:$AB$11,9,0)</f>
        <v>14</v>
      </c>
      <c r="S3" s="46" t="str">
        <f t="shared" ref="S3:S11" si="7">A4</f>
        <v>OLIMP MIŃSK MAZ. 5</v>
      </c>
      <c r="T3" s="47">
        <f t="array" ref="T3">SUM((home=S3)*(ISNUMBER(homescore)),(visitor=S3)*(ISNUMBER(visitorscore)))</f>
        <v>8</v>
      </c>
      <c r="U3" s="32">
        <f t="array" ref="U3">SUM((home=S3)*(homescore&gt;visitorscore),(visitor=S3)*(visitorscore&gt;homescore))</f>
        <v>6</v>
      </c>
      <c r="V3" s="32">
        <f t="array" ref="V3">SUM((home=S3)*(homescore&lt;visitorscore),(visitor=S3)*(visitorscore&lt;homescore))</f>
        <v>2</v>
      </c>
      <c r="W3" s="48">
        <f t="shared" ref="W3" si="8">SUMIF(home,S3,homescore)+SUMIF(visitor,S3,visitorscore)</f>
        <v>78</v>
      </c>
      <c r="X3" s="49">
        <f t="shared" ref="X3" si="9">SUMIF(home,S3,visitorscore)+SUMIF(visitor,S3,homescore)</f>
        <v>51</v>
      </c>
      <c r="Y3" s="32">
        <f>W3-X3</f>
        <v>27</v>
      </c>
      <c r="Z3" s="50">
        <f>IF(X3&gt;0,W3/X3,0)</f>
        <v>1.5294117647058822</v>
      </c>
      <c r="AA3" s="48">
        <f>2*U3</f>
        <v>12</v>
      </c>
      <c r="AB3" s="51">
        <f>W3+Z3*1000+Y3*10000+AA3*100000000</f>
        <v>1200271607.4117646</v>
      </c>
    </row>
    <row r="4" spans="1:28">
      <c r="A4" s="52" t="s">
        <v>70</v>
      </c>
      <c r="H4" s="42" t="str">
        <f t="array" ref="H4">INDEX($S$3:$S$11,MATCH(LARGE($AB$3:$AB$11-ROW($AB$3:$AB$11)/COUNT($AB$3:$AB$11),ROW(H4)-ROW(H$3)+1),$AB$3:$AB$11-ROW($AB$3:$AB$11)/COUNT($AB$3:$AB$11),0))</f>
        <v>LEN ŻYRARDÓW 5</v>
      </c>
      <c r="I4" s="43">
        <f t="shared" si="0"/>
        <v>8</v>
      </c>
      <c r="J4" s="43">
        <f t="shared" si="1"/>
        <v>6</v>
      </c>
      <c r="K4" s="43">
        <f t="shared" si="2"/>
        <v>2</v>
      </c>
      <c r="L4" s="43">
        <f t="shared" si="3"/>
        <v>82</v>
      </c>
      <c r="M4" s="43">
        <f t="shared" si="4"/>
        <v>45</v>
      </c>
      <c r="N4" s="43">
        <f t="shared" si="5"/>
        <v>37</v>
      </c>
      <c r="O4" s="44">
        <f>IF(Tabela1891415[[#This Row],[STRACONE]]=0,0,Tabela1891415[[#This Row],[ZDOBYTE]]/Tabela1891415[[#This Row],[STRACONE]])</f>
        <v>1.8222222222222222</v>
      </c>
      <c r="P4" s="45">
        <f t="shared" si="6"/>
        <v>12</v>
      </c>
      <c r="S4" s="53" t="str">
        <f t="shared" si="7"/>
        <v>MUKS KRÓTKA 2</v>
      </c>
      <c r="T4" s="47">
        <f t="array" ref="T4">SUM((home=S4)*(ISNUMBER(homescore)),(visitor=S4)*(ISNUMBER(visitorscore)))</f>
        <v>8</v>
      </c>
      <c r="U4" s="32">
        <f t="array" ref="U4">SUM((home=S4)*(homescore&gt;visitorscore),(visitor=S4)*(visitorscore&gt;homescore))</f>
        <v>7</v>
      </c>
      <c r="V4" s="32">
        <f t="array" ref="V4">SUM((home=S4)*(homescore&lt;visitorscore),(visitor=S4)*(visitorscore&lt;homescore))</f>
        <v>1</v>
      </c>
      <c r="W4" s="48">
        <f t="shared" ref="W4" si="10">SUMIF(home,S4,homescore)+SUMIF(visitor,S4,visitorscore)</f>
        <v>87</v>
      </c>
      <c r="X4" s="49">
        <f t="shared" ref="X4" si="11">SUMIF(home,S4,visitorscore)+SUMIF(visitor,S4,homescore)</f>
        <v>38</v>
      </c>
      <c r="Y4" s="32">
        <f t="shared" ref="Y4:Y11" si="12">W4-X4</f>
        <v>49</v>
      </c>
      <c r="Z4" s="50">
        <f t="shared" ref="Z4:Z11" si="13">IF(X4&gt;0,W4/X4,0)</f>
        <v>2.2894736842105261</v>
      </c>
      <c r="AA4" s="48">
        <f t="shared" ref="AA4:AA11" si="14">2*U4</f>
        <v>14</v>
      </c>
      <c r="AB4" s="51">
        <f t="shared" ref="AB4:AB11" si="15">W4+Z4*1000+Y4*10000+AA4*100000000</f>
        <v>1400492376.4736843</v>
      </c>
    </row>
    <row r="5" spans="1:28">
      <c r="A5" s="52" t="s">
        <v>71</v>
      </c>
      <c r="H5" s="42" t="str">
        <f t="array" ref="H5">INDEX($S$3:$S$11,MATCH(LARGE($AB$3:$AB$11-ROW($AB$3:$AB$11)/COUNT($AB$3:$AB$11),ROW(H5)-ROW(H$3)+1),$AB$3:$AB$11-ROW($AB$3:$AB$11)/COUNT($AB$3:$AB$11),0))</f>
        <v>OLIMP MIŃSK MAZ. 5</v>
      </c>
      <c r="I5" s="43">
        <f t="shared" si="0"/>
        <v>8</v>
      </c>
      <c r="J5" s="43">
        <f t="shared" si="1"/>
        <v>6</v>
      </c>
      <c r="K5" s="43">
        <f t="shared" si="2"/>
        <v>2</v>
      </c>
      <c r="L5" s="43">
        <f t="shared" si="3"/>
        <v>78</v>
      </c>
      <c r="M5" s="43">
        <f t="shared" si="4"/>
        <v>51</v>
      </c>
      <c r="N5" s="43">
        <f t="shared" si="5"/>
        <v>27</v>
      </c>
      <c r="O5" s="44">
        <f>IF(Tabela1891415[[#This Row],[STRACONE]]=0,0,Tabela1891415[[#This Row],[ZDOBYTE]]/Tabela1891415[[#This Row],[STRACONE]])</f>
        <v>1.5294117647058822</v>
      </c>
      <c r="P5" s="45">
        <f t="shared" si="6"/>
        <v>12</v>
      </c>
      <c r="S5" s="53" t="str">
        <f t="shared" si="7"/>
        <v>UKS LESZNOWOLA 22</v>
      </c>
      <c r="T5" s="47">
        <f t="array" ref="T5">SUM((home=S5)*(ISNUMBER(homescore)),(visitor=S5)*(ISNUMBER(visitorscore)))</f>
        <v>8</v>
      </c>
      <c r="U5" s="32">
        <f t="array" ref="U5">SUM((home=S5)*(homescore&gt;visitorscore),(visitor=S5)*(visitorscore&gt;homescore))</f>
        <v>2</v>
      </c>
      <c r="V5" s="32">
        <f t="array" ref="V5">SUM((home=S5)*(homescore&lt;visitorscore),(visitor=S5)*(visitorscore&lt;homescore))</f>
        <v>6</v>
      </c>
      <c r="W5" s="48">
        <f t="shared" ref="W5" si="16">SUMIF(home,S5,homescore)+SUMIF(visitor,S5,visitorscore)</f>
        <v>22</v>
      </c>
      <c r="X5" s="49">
        <f t="shared" ref="X5" si="17">SUMIF(home,S5,visitorscore)+SUMIF(visitor,S5,homescore)</f>
        <v>66</v>
      </c>
      <c r="Y5" s="32">
        <f t="shared" si="12"/>
        <v>-44</v>
      </c>
      <c r="Z5" s="50">
        <f t="shared" si="13"/>
        <v>0.33333333333333331</v>
      </c>
      <c r="AA5" s="48">
        <f t="shared" si="14"/>
        <v>4</v>
      </c>
      <c r="AB5" s="51">
        <f t="shared" si="15"/>
        <v>399560355.33333331</v>
      </c>
    </row>
    <row r="6" spans="1:28">
      <c r="A6" s="52" t="s">
        <v>72</v>
      </c>
      <c r="H6" s="42" t="str">
        <f t="array" ref="H6">INDEX($S$3:$S$11,MATCH(LARGE($AB$3:$AB$11-ROW($AB$3:$AB$11)/COUNT($AB$3:$AB$11),ROW(H6)-ROW(H$3)+1),$AB$3:$AB$11-ROW($AB$3:$AB$11)/COUNT($AB$3:$AB$11),0))</f>
        <v>ORLĘTA RASZYN 9</v>
      </c>
      <c r="I6" s="43">
        <f t="shared" si="0"/>
        <v>8</v>
      </c>
      <c r="J6" s="43">
        <f t="shared" si="1"/>
        <v>5</v>
      </c>
      <c r="K6" s="43">
        <f t="shared" si="2"/>
        <v>3</v>
      </c>
      <c r="L6" s="43">
        <f t="shared" si="3"/>
        <v>78</v>
      </c>
      <c r="M6" s="43">
        <f t="shared" si="4"/>
        <v>40</v>
      </c>
      <c r="N6" s="43">
        <f t="shared" si="5"/>
        <v>38</v>
      </c>
      <c r="O6" s="44">
        <f>IF(Tabela1891415[[#This Row],[STRACONE]]=0,0,Tabela1891415[[#This Row],[ZDOBYTE]]/Tabela1891415[[#This Row],[STRACONE]])</f>
        <v>1.95</v>
      </c>
      <c r="P6" s="45">
        <f t="shared" si="6"/>
        <v>10</v>
      </c>
      <c r="S6" s="53" t="str">
        <f t="shared" si="7"/>
        <v>LEN ŻYRARDÓW 5</v>
      </c>
      <c r="T6" s="47">
        <f t="array" ref="T6">SUM((home=S6)*(ISNUMBER(homescore)),(visitor=S6)*(ISNUMBER(visitorscore)))</f>
        <v>8</v>
      </c>
      <c r="U6" s="32">
        <f t="array" ref="U6">SUM((home=S6)*(homescore&gt;visitorscore),(visitor=S6)*(visitorscore&gt;homescore))</f>
        <v>6</v>
      </c>
      <c r="V6" s="32">
        <f t="array" ref="V6">SUM((home=S6)*(homescore&lt;visitorscore),(visitor=S6)*(visitorscore&lt;homescore))</f>
        <v>2</v>
      </c>
      <c r="W6" s="48">
        <f t="shared" ref="W6" si="18">SUMIF(home,S6,homescore)+SUMIF(visitor,S6,visitorscore)</f>
        <v>82</v>
      </c>
      <c r="X6" s="49">
        <f t="shared" ref="X6" si="19">SUMIF(home,S6,visitorscore)+SUMIF(visitor,S6,homescore)</f>
        <v>45</v>
      </c>
      <c r="Y6" s="32">
        <f t="shared" si="12"/>
        <v>37</v>
      </c>
      <c r="Z6" s="50">
        <f t="shared" si="13"/>
        <v>1.8222222222222222</v>
      </c>
      <c r="AA6" s="48">
        <f t="shared" si="14"/>
        <v>12</v>
      </c>
      <c r="AB6" s="51">
        <f t="shared" si="15"/>
        <v>1200371904.2222223</v>
      </c>
    </row>
    <row r="7" spans="1:28">
      <c r="A7" s="52" t="s">
        <v>73</v>
      </c>
      <c r="H7" s="42" t="str">
        <f t="array" ref="H7">INDEX($S$3:$S$11,MATCH(LARGE($AB$3:$AB$11-ROW($AB$3:$AB$11)/COUNT($AB$3:$AB$11),ROW(H7)-ROW(H$3)+1),$AB$3:$AB$11-ROW($AB$3:$AB$11)/COUNT($AB$3:$AB$11),0))</f>
        <v>PRASKA 30 6</v>
      </c>
      <c r="I7" s="43">
        <f t="shared" si="0"/>
        <v>8</v>
      </c>
      <c r="J7" s="43">
        <f t="shared" si="1"/>
        <v>5</v>
      </c>
      <c r="K7" s="43">
        <f t="shared" si="2"/>
        <v>3</v>
      </c>
      <c r="L7" s="43">
        <f t="shared" si="3"/>
        <v>76</v>
      </c>
      <c r="M7" s="43">
        <f t="shared" si="4"/>
        <v>43</v>
      </c>
      <c r="N7" s="43">
        <f t="shared" si="5"/>
        <v>33</v>
      </c>
      <c r="O7" s="44">
        <f>IF(Tabela1891415[[#This Row],[STRACONE]]=0,0,Tabela1891415[[#This Row],[ZDOBYTE]]/Tabela1891415[[#This Row],[STRACONE]])</f>
        <v>1.7674418604651163</v>
      </c>
      <c r="P7" s="45">
        <f t="shared" si="6"/>
        <v>10</v>
      </c>
      <c r="S7" s="53" t="str">
        <f t="shared" si="7"/>
        <v>PRASKA 30 6</v>
      </c>
      <c r="T7" s="47">
        <f t="array" ref="T7">SUM((home=S7)*(ISNUMBER(homescore)),(visitor=S7)*(ISNUMBER(visitorscore)))</f>
        <v>8</v>
      </c>
      <c r="U7" s="32">
        <f t="array" ref="U7">SUM((home=S7)*(homescore&gt;visitorscore),(visitor=S7)*(visitorscore&gt;homescore))</f>
        <v>5</v>
      </c>
      <c r="V7" s="32">
        <f t="array" ref="V7">SUM((home=S7)*(homescore&lt;visitorscore),(visitor=S7)*(visitorscore&lt;homescore))</f>
        <v>3</v>
      </c>
      <c r="W7" s="48">
        <f t="shared" ref="W7" si="20">SUMIF(home,S7,homescore)+SUMIF(visitor,S7,visitorscore)</f>
        <v>76</v>
      </c>
      <c r="X7" s="49">
        <f t="shared" ref="X7" si="21">SUMIF(home,S7,visitorscore)+SUMIF(visitor,S7,homescore)</f>
        <v>43</v>
      </c>
      <c r="Y7" s="32">
        <f t="shared" si="12"/>
        <v>33</v>
      </c>
      <c r="Z7" s="50">
        <f t="shared" si="13"/>
        <v>1.7674418604651163</v>
      </c>
      <c r="AA7" s="48">
        <f t="shared" si="14"/>
        <v>10</v>
      </c>
      <c r="AB7" s="51">
        <f t="shared" si="15"/>
        <v>1000331843.4418604</v>
      </c>
    </row>
    <row r="8" spans="1:28">
      <c r="A8" s="52" t="s">
        <v>74</v>
      </c>
      <c r="H8" s="42" t="str">
        <f t="array" ref="H8">INDEX($S$3:$S$11,MATCH(LARGE($AB$3:$AB$11-ROW($AB$3:$AB$11)/COUNT($AB$3:$AB$11),ROW(H8)-ROW(H$3)+1),$AB$3:$AB$11-ROW($AB$3:$AB$11)/COUNT($AB$3:$AB$11),0))</f>
        <v>OLIMP MIŃSK MAZ. 14</v>
      </c>
      <c r="I8" s="43">
        <f t="shared" si="0"/>
        <v>8</v>
      </c>
      <c r="J8" s="43">
        <f t="shared" si="1"/>
        <v>4</v>
      </c>
      <c r="K8" s="43">
        <f t="shared" si="2"/>
        <v>4</v>
      </c>
      <c r="L8" s="43">
        <f t="shared" si="3"/>
        <v>64</v>
      </c>
      <c r="M8" s="43">
        <f t="shared" si="4"/>
        <v>50</v>
      </c>
      <c r="N8" s="43">
        <f t="shared" si="5"/>
        <v>14</v>
      </c>
      <c r="O8" s="44">
        <f>IF(Tabela1891415[[#This Row],[STRACONE]]=0,0,Tabela1891415[[#This Row],[ZDOBYTE]]/Tabela1891415[[#This Row],[STRACONE]])</f>
        <v>1.28</v>
      </c>
      <c r="P8" s="45">
        <f t="shared" si="6"/>
        <v>8</v>
      </c>
      <c r="S8" s="53" t="str">
        <f t="shared" si="7"/>
        <v>DĘBINA NIEPORĘT 1</v>
      </c>
      <c r="T8" s="47">
        <f t="array" ref="T8">SUM((home=S8)*(ISNUMBER(homescore)),(visitor=S8)*(ISNUMBER(visitorscore)))</f>
        <v>8</v>
      </c>
      <c r="U8" s="32">
        <f t="array" ref="U8">SUM((home=S8)*(homescore&gt;visitorscore),(visitor=S8)*(visitorscore&gt;homescore))</f>
        <v>0</v>
      </c>
      <c r="V8" s="32">
        <f t="array" ref="V8">SUM((home=S8)*(homescore&lt;visitorscore),(visitor=S8)*(visitorscore&lt;homescore))</f>
        <v>7</v>
      </c>
      <c r="W8" s="48">
        <f t="shared" ref="W8" si="22">SUMIF(home,S8,homescore)+SUMIF(visitor,S8,visitorscore)</f>
        <v>0</v>
      </c>
      <c r="X8" s="49">
        <f t="shared" ref="X8" si="23">SUMIF(home,S8,visitorscore)+SUMIF(visitor,S8,homescore)</f>
        <v>77</v>
      </c>
      <c r="Y8" s="32">
        <f t="shared" si="12"/>
        <v>-77</v>
      </c>
      <c r="Z8" s="50">
        <f t="shared" si="13"/>
        <v>0</v>
      </c>
      <c r="AA8" s="48">
        <f t="shared" si="14"/>
        <v>0</v>
      </c>
      <c r="AB8" s="51">
        <f t="shared" si="15"/>
        <v>-770000</v>
      </c>
    </row>
    <row r="9" spans="1:28">
      <c r="A9" s="52" t="s">
        <v>75</v>
      </c>
      <c r="H9" s="42" t="str">
        <f t="array" ref="H9">INDEX($S$3:$S$11,MATCH(LARGE($AB$3:$AB$11-ROW($AB$3:$AB$11)/COUNT($AB$3:$AB$11),ROW(H9)-ROW(H$3)+1),$AB$3:$AB$11-ROW($AB$3:$AB$11)/COUNT($AB$3:$AB$11),0))</f>
        <v>UKS LESZNOWOLA 22</v>
      </c>
      <c r="I9" s="43">
        <f t="shared" si="0"/>
        <v>8</v>
      </c>
      <c r="J9" s="43">
        <f t="shared" si="1"/>
        <v>2</v>
      </c>
      <c r="K9" s="43">
        <f t="shared" si="2"/>
        <v>6</v>
      </c>
      <c r="L9" s="43">
        <f t="shared" si="3"/>
        <v>22</v>
      </c>
      <c r="M9" s="43">
        <f t="shared" si="4"/>
        <v>66</v>
      </c>
      <c r="N9" s="43">
        <f t="shared" si="5"/>
        <v>-44</v>
      </c>
      <c r="O9" s="44">
        <f>IF(Tabela1891415[[#This Row],[STRACONE]]=0,0,Tabela1891415[[#This Row],[ZDOBYTE]]/Tabela1891415[[#This Row],[STRACONE]])</f>
        <v>0.33333333333333331</v>
      </c>
      <c r="P9" s="45">
        <f t="shared" si="6"/>
        <v>4</v>
      </c>
      <c r="S9" s="53" t="str">
        <f t="shared" si="7"/>
        <v>ORLĘTA RASZYN 9</v>
      </c>
      <c r="T9" s="47">
        <f t="array" ref="T9">SUM((home=S9)*(ISNUMBER(homescore)),(visitor=S9)*(ISNUMBER(visitorscore)))</f>
        <v>8</v>
      </c>
      <c r="U9" s="32">
        <f t="array" ref="U9">SUM((home=S9)*(homescore&gt;visitorscore),(visitor=S9)*(visitorscore&gt;homescore))</f>
        <v>5</v>
      </c>
      <c r="V9" s="32">
        <f t="array" ref="V9">SUM((home=S9)*(homescore&lt;visitorscore),(visitor=S9)*(visitorscore&lt;homescore))</f>
        <v>3</v>
      </c>
      <c r="W9" s="48">
        <f t="shared" ref="W9" si="24">SUMIF(home,S9,homescore)+SUMIF(visitor,S9,visitorscore)</f>
        <v>78</v>
      </c>
      <c r="X9" s="49">
        <f t="shared" ref="X9" si="25">SUMIF(home,S9,visitorscore)+SUMIF(visitor,S9,homescore)</f>
        <v>40</v>
      </c>
      <c r="Y9" s="32">
        <f t="shared" si="12"/>
        <v>38</v>
      </c>
      <c r="Z9" s="50">
        <f t="shared" si="13"/>
        <v>1.95</v>
      </c>
      <c r="AA9" s="48">
        <f t="shared" si="14"/>
        <v>10</v>
      </c>
      <c r="AB9" s="51">
        <f t="shared" si="15"/>
        <v>1000382028</v>
      </c>
    </row>
    <row r="10" spans="1:28">
      <c r="A10" s="52" t="s">
        <v>76</v>
      </c>
      <c r="H10" s="42" t="str">
        <f t="array" ref="H10">INDEX($S$3:$S$11,MATCH(LARGE($AB$3:$AB$11-ROW($AB$3:$AB$11)/COUNT($AB$3:$AB$11),ROW(H10)-ROW(H$3)+1),$AB$3:$AB$11-ROW($AB$3:$AB$11)/COUNT($AB$3:$AB$11),0))</f>
        <v>DĘBINA NIEPORĘT 1</v>
      </c>
      <c r="I10" s="43">
        <f t="shared" si="0"/>
        <v>8</v>
      </c>
      <c r="J10" s="43">
        <f t="shared" si="1"/>
        <v>0</v>
      </c>
      <c r="K10" s="43">
        <f t="shared" si="2"/>
        <v>7</v>
      </c>
      <c r="L10" s="43">
        <f t="shared" si="3"/>
        <v>0</v>
      </c>
      <c r="M10" s="43">
        <f t="shared" si="4"/>
        <v>77</v>
      </c>
      <c r="N10" s="43">
        <f t="shared" si="5"/>
        <v>-77</v>
      </c>
      <c r="O10" s="44">
        <f>IF(Tabela1891415[[#This Row],[STRACONE]]=0,0,Tabela1891415[[#This Row],[ZDOBYTE]]/Tabela1891415[[#This Row],[STRACONE]])</f>
        <v>0</v>
      </c>
      <c r="P10" s="45">
        <f t="shared" si="6"/>
        <v>0</v>
      </c>
      <c r="S10" s="53" t="str">
        <f t="shared" si="7"/>
        <v>SASKA WARSZAWA 5</v>
      </c>
      <c r="T10" s="47">
        <f t="array" ref="T10">SUM((home=S10)*(ISNUMBER(homescore)),(visitor=S10)*(ISNUMBER(visitorscore)))</f>
        <v>8</v>
      </c>
      <c r="U10" s="32">
        <f t="array" ref="U10">SUM((home=S10)*(homescore&gt;visitorscore),(visitor=S10)*(visitorscore&gt;homescore))</f>
        <v>0</v>
      </c>
      <c r="V10" s="32">
        <f t="array" ref="V10">SUM((home=S10)*(homescore&lt;visitorscore),(visitor=S10)*(visitorscore&lt;homescore))</f>
        <v>7</v>
      </c>
      <c r="W10" s="48">
        <f t="shared" ref="W10" si="26">SUMIF(home,S10,homescore)+SUMIF(visitor,S10,visitorscore)</f>
        <v>0</v>
      </c>
      <c r="X10" s="49">
        <f t="shared" ref="X10" si="27">SUMIF(home,S10,visitorscore)+SUMIF(visitor,S10,homescore)</f>
        <v>77</v>
      </c>
      <c r="Y10" s="32">
        <f t="shared" si="12"/>
        <v>-77</v>
      </c>
      <c r="Z10" s="50">
        <f t="shared" si="13"/>
        <v>0</v>
      </c>
      <c r="AA10" s="48">
        <f t="shared" si="14"/>
        <v>0</v>
      </c>
      <c r="AB10" s="51">
        <f t="shared" si="15"/>
        <v>-770000</v>
      </c>
    </row>
    <row r="11" spans="1:28">
      <c r="A11" s="52" t="s">
        <v>77</v>
      </c>
      <c r="H11" s="42" t="str">
        <f t="array" ref="H11">INDEX($S$3:$S$11,MATCH(LARGE($AB$3:$AB$11-ROW($AB$3:$AB$11)/COUNT($AB$3:$AB$11),ROW(H11)-ROW(H$3)+1),$AB$3:$AB$11-ROW($AB$3:$AB$11)/COUNT($AB$3:$AB$11),0))</f>
        <v>SASKA WARSZAWA 5</v>
      </c>
      <c r="I11" s="43">
        <f t="shared" si="0"/>
        <v>8</v>
      </c>
      <c r="J11" s="43">
        <f t="shared" si="1"/>
        <v>0</v>
      </c>
      <c r="K11" s="43">
        <f t="shared" si="2"/>
        <v>7</v>
      </c>
      <c r="L11" s="43">
        <f t="shared" si="3"/>
        <v>0</v>
      </c>
      <c r="M11" s="43">
        <f t="shared" si="4"/>
        <v>77</v>
      </c>
      <c r="N11" s="43">
        <f t="shared" si="5"/>
        <v>-77</v>
      </c>
      <c r="O11" s="44">
        <f>IF(Tabela1891415[[#This Row],[STRACONE]]=0,0,Tabela1891415[[#This Row],[ZDOBYTE]]/Tabela1891415[[#This Row],[STRACONE]])</f>
        <v>0</v>
      </c>
      <c r="P11" s="45">
        <f t="shared" si="6"/>
        <v>0</v>
      </c>
      <c r="S11" s="53" t="str">
        <f t="shared" si="7"/>
        <v>OLIMP MIŃSK MAZ. 14</v>
      </c>
      <c r="T11" s="47">
        <f t="array" ref="T11">SUM((home=S11)*(ISNUMBER(homescore)),(visitor=S11)*(ISNUMBER(visitorscore)))</f>
        <v>8</v>
      </c>
      <c r="U11" s="32">
        <f t="array" ref="U11">SUM((home=S11)*(homescore&gt;visitorscore),(visitor=S11)*(visitorscore&gt;homescore))</f>
        <v>4</v>
      </c>
      <c r="V11" s="32">
        <f t="array" ref="V11">SUM((home=S11)*(homescore&lt;visitorscore),(visitor=S11)*(visitorscore&lt;homescore))</f>
        <v>4</v>
      </c>
      <c r="W11" s="48">
        <f t="shared" ref="W11" si="28">SUMIF(home,S11,homescore)+SUMIF(visitor,S11,visitorscore)</f>
        <v>64</v>
      </c>
      <c r="X11" s="49">
        <f t="shared" ref="X11" si="29">SUMIF(home,S11,visitorscore)+SUMIF(visitor,S11,homescore)</f>
        <v>50</v>
      </c>
      <c r="Y11" s="32">
        <f t="shared" si="12"/>
        <v>14</v>
      </c>
      <c r="Z11" s="50">
        <f t="shared" si="13"/>
        <v>1.28</v>
      </c>
      <c r="AA11" s="48">
        <f t="shared" si="14"/>
        <v>8</v>
      </c>
      <c r="AB11" s="51">
        <f t="shared" si="15"/>
        <v>800141344</v>
      </c>
    </row>
    <row r="12" spans="1:28">
      <c r="A12" s="78" t="s">
        <v>78</v>
      </c>
    </row>
    <row r="15" spans="1:28">
      <c r="A15" s="40" t="s">
        <v>27</v>
      </c>
      <c r="B15" s="40" t="s">
        <v>68</v>
      </c>
      <c r="H15" s="54"/>
    </row>
    <row r="16" spans="1:28">
      <c r="A16" s="26" t="str">
        <f>A5</f>
        <v>MUKS KRÓTKA 2</v>
      </c>
      <c r="B16" s="26" t="str">
        <f>A12</f>
        <v>OLIMP MIŃSK MAZ. 14</v>
      </c>
      <c r="C16" s="43">
        <v>11</v>
      </c>
      <c r="D16" s="43" t="s">
        <v>29</v>
      </c>
      <c r="E16" s="43">
        <v>4</v>
      </c>
      <c r="F16" s="32"/>
    </row>
    <row r="17" spans="1:29">
      <c r="A17" s="26" t="str">
        <f>A6</f>
        <v>UKS LESZNOWOLA 22</v>
      </c>
      <c r="B17" s="26" t="str">
        <f>A11</f>
        <v>SASKA WARSZAWA 5</v>
      </c>
      <c r="C17" s="43">
        <v>11</v>
      </c>
      <c r="D17" s="43" t="s">
        <v>29</v>
      </c>
      <c r="E17" s="43">
        <v>0</v>
      </c>
      <c r="F17" s="32"/>
    </row>
    <row r="18" spans="1:29">
      <c r="A18" s="26" t="str">
        <f>A7</f>
        <v>LEN ŻYRARDÓW 5</v>
      </c>
      <c r="B18" s="26" t="str">
        <f>A10</f>
        <v>ORLĘTA RASZYN 9</v>
      </c>
      <c r="C18" s="43">
        <v>11</v>
      </c>
      <c r="D18" s="43" t="s">
        <v>29</v>
      </c>
      <c r="E18" s="43">
        <v>10</v>
      </c>
      <c r="F18" s="32"/>
    </row>
    <row r="19" spans="1:29">
      <c r="A19" s="26" t="str">
        <f>A8</f>
        <v>PRASKA 30 6</v>
      </c>
      <c r="B19" s="26" t="str">
        <f>A9</f>
        <v>DĘBINA NIEPORĘT 1</v>
      </c>
      <c r="C19" s="43">
        <v>11</v>
      </c>
      <c r="D19" s="43" t="s">
        <v>29</v>
      </c>
      <c r="E19" s="43">
        <v>0</v>
      </c>
      <c r="F19" s="32"/>
    </row>
    <row r="20" spans="1:29">
      <c r="A20" s="26" t="str">
        <f>A10</f>
        <v>ORLĘTA RASZYN 9</v>
      </c>
      <c r="B20" s="26" t="str">
        <f>A8</f>
        <v>PRASKA 30 6</v>
      </c>
      <c r="C20" s="43">
        <v>11</v>
      </c>
      <c r="D20" s="43" t="s">
        <v>29</v>
      </c>
      <c r="E20" s="43">
        <v>4</v>
      </c>
      <c r="F20" s="32" t="s">
        <v>30</v>
      </c>
    </row>
    <row r="21" spans="1:29" s="32" customFormat="1">
      <c r="A21" s="26" t="str">
        <f>A11</f>
        <v>SASKA WARSZAWA 5</v>
      </c>
      <c r="B21" s="26" t="str">
        <f>A7</f>
        <v>LEN ŻYRARDÓW 5</v>
      </c>
      <c r="C21" s="43">
        <v>0</v>
      </c>
      <c r="D21" s="43" t="s">
        <v>29</v>
      </c>
      <c r="E21" s="43">
        <v>11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s="32" customFormat="1">
      <c r="A22" s="26" t="str">
        <f>A12</f>
        <v>OLIMP MIŃSK MAZ. 14</v>
      </c>
      <c r="B22" s="26" t="str">
        <f>A6</f>
        <v>UKS LESZNOWOLA 22</v>
      </c>
      <c r="C22" s="43">
        <v>11</v>
      </c>
      <c r="D22" s="43" t="s">
        <v>29</v>
      </c>
      <c r="E22" s="43">
        <v>0</v>
      </c>
      <c r="F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s="32" customFormat="1">
      <c r="A23" s="26" t="str">
        <f>A4</f>
        <v>OLIMP MIŃSK MAZ. 5</v>
      </c>
      <c r="B23" s="26" t="str">
        <f>A5</f>
        <v>MUKS KRÓTKA 2</v>
      </c>
      <c r="C23" s="43">
        <v>9</v>
      </c>
      <c r="D23" s="43" t="s">
        <v>29</v>
      </c>
      <c r="E23" s="43">
        <v>11</v>
      </c>
      <c r="F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s="32" customFormat="1">
      <c r="A24" s="26" t="str">
        <f>A6</f>
        <v>UKS LESZNOWOLA 22</v>
      </c>
      <c r="B24" s="26" t="str">
        <f>A4</f>
        <v>OLIMP MIŃSK MAZ. 5</v>
      </c>
      <c r="C24" s="43">
        <v>0</v>
      </c>
      <c r="D24" s="43" t="s">
        <v>29</v>
      </c>
      <c r="E24" s="43">
        <v>11</v>
      </c>
      <c r="F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s="32" customFormat="1">
      <c r="A25" s="26" t="str">
        <f>A7</f>
        <v>LEN ŻYRARDÓW 5</v>
      </c>
      <c r="B25" s="26" t="str">
        <f>A12</f>
        <v>OLIMP MIŃSK MAZ. 14</v>
      </c>
      <c r="C25" s="43">
        <v>11</v>
      </c>
      <c r="D25" s="43" t="s">
        <v>29</v>
      </c>
      <c r="E25" s="43">
        <v>3</v>
      </c>
      <c r="F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>
      <c r="A26" s="26" t="str">
        <f>A8</f>
        <v>PRASKA 30 6</v>
      </c>
      <c r="B26" s="26" t="str">
        <f>A11</f>
        <v>SASKA WARSZAWA 5</v>
      </c>
      <c r="C26" s="43">
        <v>11</v>
      </c>
      <c r="D26" s="43" t="s">
        <v>29</v>
      </c>
      <c r="E26" s="43">
        <v>0</v>
      </c>
    </row>
    <row r="27" spans="1:29">
      <c r="A27" s="26" t="str">
        <f>A9</f>
        <v>DĘBINA NIEPORĘT 1</v>
      </c>
      <c r="B27" s="26" t="str">
        <f>A10</f>
        <v>ORLĘTA RASZYN 9</v>
      </c>
      <c r="C27" s="43">
        <v>0</v>
      </c>
      <c r="D27" s="43" t="s">
        <v>29</v>
      </c>
      <c r="E27" s="43">
        <v>11</v>
      </c>
    </row>
    <row r="28" spans="1:29">
      <c r="A28" s="26" t="str">
        <f>A12</f>
        <v>OLIMP MIŃSK MAZ. 14</v>
      </c>
      <c r="B28" s="26" t="str">
        <f>A8</f>
        <v>PRASKA 30 6</v>
      </c>
      <c r="C28" s="43">
        <v>4</v>
      </c>
      <c r="D28" s="43" t="s">
        <v>29</v>
      </c>
      <c r="E28" s="43">
        <v>11</v>
      </c>
    </row>
    <row r="29" spans="1:29">
      <c r="A29" s="26" t="str">
        <f>A11</f>
        <v>SASKA WARSZAWA 5</v>
      </c>
      <c r="B29" s="26" t="str">
        <f>A9</f>
        <v>DĘBINA NIEPORĘT 1</v>
      </c>
      <c r="C29" s="43">
        <v>0</v>
      </c>
      <c r="D29" s="43" t="s">
        <v>29</v>
      </c>
      <c r="E29" s="43">
        <v>0</v>
      </c>
    </row>
    <row r="30" spans="1:29">
      <c r="A30" s="26" t="str">
        <f>A4</f>
        <v>OLIMP MIŃSK MAZ. 5</v>
      </c>
      <c r="B30" s="26" t="str">
        <f>A7</f>
        <v>LEN ŻYRARDÓW 5</v>
      </c>
      <c r="C30" s="43">
        <v>11</v>
      </c>
      <c r="D30" s="43" t="s">
        <v>29</v>
      </c>
      <c r="E30" s="43">
        <v>10</v>
      </c>
    </row>
    <row r="31" spans="1:29">
      <c r="A31" s="26" t="str">
        <f>A5</f>
        <v>MUKS KRÓTKA 2</v>
      </c>
      <c r="B31" s="26" t="str">
        <f>A6</f>
        <v>UKS LESZNOWOLA 22</v>
      </c>
      <c r="C31" s="43">
        <v>11</v>
      </c>
      <c r="D31" s="43" t="s">
        <v>29</v>
      </c>
      <c r="E31" s="43">
        <v>0</v>
      </c>
    </row>
    <row r="32" spans="1:29">
      <c r="A32" s="26" t="str">
        <f>A7</f>
        <v>LEN ŻYRARDÓW 5</v>
      </c>
      <c r="B32" s="26" t="str">
        <f>A5</f>
        <v>MUKS KRÓTKA 2</v>
      </c>
      <c r="C32" s="43">
        <v>11</v>
      </c>
      <c r="D32" s="43" t="s">
        <v>29</v>
      </c>
      <c r="E32" s="43">
        <v>10</v>
      </c>
    </row>
    <row r="33" spans="1:5">
      <c r="A33" s="26" t="str">
        <f>A8</f>
        <v>PRASKA 30 6</v>
      </c>
      <c r="B33" s="26" t="str">
        <f>A4</f>
        <v>OLIMP MIŃSK MAZ. 5</v>
      </c>
      <c r="C33" s="43">
        <v>10</v>
      </c>
      <c r="D33" s="43" t="s">
        <v>29</v>
      </c>
      <c r="E33" s="43">
        <v>11</v>
      </c>
    </row>
    <row r="34" spans="1:5">
      <c r="A34" s="26" t="str">
        <f>A9</f>
        <v>DĘBINA NIEPORĘT 1</v>
      </c>
      <c r="B34" s="26" t="str">
        <f>A12</f>
        <v>OLIMP MIŃSK MAZ. 14</v>
      </c>
      <c r="C34" s="43">
        <v>0</v>
      </c>
      <c r="D34" s="43" t="s">
        <v>29</v>
      </c>
      <c r="E34" s="43">
        <v>11</v>
      </c>
    </row>
    <row r="35" spans="1:5">
      <c r="A35" s="26" t="str">
        <f>A10</f>
        <v>ORLĘTA RASZYN 9</v>
      </c>
      <c r="B35" s="26" t="str">
        <f>A11</f>
        <v>SASKA WARSZAWA 5</v>
      </c>
      <c r="C35" s="43">
        <v>11</v>
      </c>
      <c r="D35" s="43" t="s">
        <v>29</v>
      </c>
      <c r="E35" s="43">
        <v>0</v>
      </c>
    </row>
    <row r="36" spans="1:5">
      <c r="A36" s="26" t="str">
        <f>A12</f>
        <v>OLIMP MIŃSK MAZ. 14</v>
      </c>
      <c r="B36" s="26" t="str">
        <f>A10</f>
        <v>ORLĘTA RASZYN 9</v>
      </c>
      <c r="C36" s="43">
        <v>11</v>
      </c>
      <c r="D36" s="43" t="s">
        <v>29</v>
      </c>
      <c r="E36" s="43">
        <v>6</v>
      </c>
    </row>
    <row r="37" spans="1:5">
      <c r="A37" s="26" t="str">
        <f>A4</f>
        <v>OLIMP MIŃSK MAZ. 5</v>
      </c>
      <c r="B37" s="26" t="str">
        <f>A9</f>
        <v>DĘBINA NIEPORĘT 1</v>
      </c>
      <c r="C37" s="43">
        <v>11</v>
      </c>
      <c r="D37" s="43" t="s">
        <v>29</v>
      </c>
      <c r="E37" s="43">
        <v>0</v>
      </c>
    </row>
    <row r="38" spans="1:5">
      <c r="A38" s="26" t="str">
        <f>A5</f>
        <v>MUKS KRÓTKA 2</v>
      </c>
      <c r="B38" s="26" t="str">
        <f>A8</f>
        <v>PRASKA 30 6</v>
      </c>
      <c r="C38" s="43">
        <v>11</v>
      </c>
      <c r="D38" s="43" t="s">
        <v>29</v>
      </c>
      <c r="E38" s="43">
        <v>7</v>
      </c>
    </row>
    <row r="39" spans="1:5">
      <c r="A39" s="26" t="str">
        <f>A6</f>
        <v>UKS LESZNOWOLA 22</v>
      </c>
      <c r="B39" s="26" t="str">
        <f>A7</f>
        <v>LEN ŻYRARDÓW 5</v>
      </c>
      <c r="C39" s="43">
        <v>0</v>
      </c>
      <c r="D39" s="43" t="s">
        <v>29</v>
      </c>
      <c r="E39" s="43">
        <v>11</v>
      </c>
    </row>
    <row r="40" spans="1:5">
      <c r="A40" s="26" t="str">
        <f>A8</f>
        <v>PRASKA 30 6</v>
      </c>
      <c r="B40" s="26" t="str">
        <f>A6</f>
        <v>UKS LESZNOWOLA 22</v>
      </c>
      <c r="C40" s="43">
        <v>11</v>
      </c>
      <c r="D40" s="43" t="s">
        <v>29</v>
      </c>
      <c r="E40" s="43">
        <v>0</v>
      </c>
    </row>
    <row r="41" spans="1:5">
      <c r="A41" s="26" t="str">
        <f>A9</f>
        <v>DĘBINA NIEPORĘT 1</v>
      </c>
      <c r="B41" s="26" t="str">
        <f>A5</f>
        <v>MUKS KRÓTKA 2</v>
      </c>
      <c r="C41" s="43">
        <v>0</v>
      </c>
      <c r="D41" s="43" t="s">
        <v>29</v>
      </c>
      <c r="E41" s="43">
        <v>11</v>
      </c>
    </row>
    <row r="42" spans="1:5">
      <c r="A42" s="26" t="str">
        <f>A10</f>
        <v>ORLĘTA RASZYN 9</v>
      </c>
      <c r="B42" s="26" t="str">
        <f>A4</f>
        <v>OLIMP MIŃSK MAZ. 5</v>
      </c>
      <c r="C42" s="43">
        <v>11</v>
      </c>
      <c r="D42" s="43" t="s">
        <v>29</v>
      </c>
      <c r="E42" s="43">
        <v>3</v>
      </c>
    </row>
    <row r="43" spans="1:5">
      <c r="A43" s="26" t="str">
        <f>A11</f>
        <v>SASKA WARSZAWA 5</v>
      </c>
      <c r="B43" s="26" t="str">
        <f>A12</f>
        <v>OLIMP MIŃSK MAZ. 14</v>
      </c>
      <c r="C43" s="43">
        <v>0</v>
      </c>
      <c r="D43" s="43" t="s">
        <v>29</v>
      </c>
      <c r="E43" s="43">
        <v>11</v>
      </c>
    </row>
    <row r="44" spans="1:5">
      <c r="A44" s="26" t="str">
        <f>A4</f>
        <v>OLIMP MIŃSK MAZ. 5</v>
      </c>
      <c r="B44" s="26" t="str">
        <f>A11</f>
        <v>SASKA WARSZAWA 5</v>
      </c>
      <c r="C44" s="43">
        <v>11</v>
      </c>
      <c r="D44" s="43" t="s">
        <v>29</v>
      </c>
      <c r="E44" s="43">
        <v>0</v>
      </c>
    </row>
    <row r="45" spans="1:5">
      <c r="A45" s="26" t="str">
        <f>A5</f>
        <v>MUKS KRÓTKA 2</v>
      </c>
      <c r="B45" s="26" t="str">
        <f>A10</f>
        <v>ORLĘTA RASZYN 9</v>
      </c>
      <c r="C45" s="43">
        <v>11</v>
      </c>
      <c r="D45" s="43" t="s">
        <v>29</v>
      </c>
      <c r="E45" s="43">
        <v>7</v>
      </c>
    </row>
    <row r="46" spans="1:5">
      <c r="A46" s="26" t="str">
        <f>A6</f>
        <v>UKS LESZNOWOLA 22</v>
      </c>
      <c r="B46" s="26" t="str">
        <f>A9</f>
        <v>DĘBINA NIEPORĘT 1</v>
      </c>
      <c r="C46" s="43">
        <v>11</v>
      </c>
      <c r="D46" s="43" t="s">
        <v>29</v>
      </c>
      <c r="E46" s="43">
        <v>0</v>
      </c>
    </row>
    <row r="47" spans="1:5">
      <c r="A47" s="26" t="str">
        <f>A7</f>
        <v>LEN ŻYRARDÓW 5</v>
      </c>
      <c r="B47" s="26" t="str">
        <f>A8</f>
        <v>PRASKA 30 6</v>
      </c>
      <c r="C47" s="43">
        <v>6</v>
      </c>
      <c r="D47" s="43" t="s">
        <v>29</v>
      </c>
      <c r="E47" s="43">
        <v>11</v>
      </c>
    </row>
    <row r="48" spans="1:5">
      <c r="A48" s="26" t="str">
        <f>A9</f>
        <v>DĘBINA NIEPORĘT 1</v>
      </c>
      <c r="B48" s="26" t="str">
        <f>A7</f>
        <v>LEN ŻYRARDÓW 5</v>
      </c>
      <c r="C48" s="43">
        <v>0</v>
      </c>
      <c r="D48" s="43" t="s">
        <v>29</v>
      </c>
      <c r="E48" s="43">
        <v>11</v>
      </c>
    </row>
    <row r="49" spans="1:5">
      <c r="A49" s="26" t="str">
        <f>A10</f>
        <v>ORLĘTA RASZYN 9</v>
      </c>
      <c r="B49" s="26" t="str">
        <f>A6</f>
        <v>UKS LESZNOWOLA 22</v>
      </c>
      <c r="C49" s="43">
        <v>11</v>
      </c>
      <c r="D49" s="43" t="s">
        <v>29</v>
      </c>
      <c r="E49" s="43">
        <v>0</v>
      </c>
    </row>
    <row r="50" spans="1:5">
      <c r="A50" s="26" t="str">
        <f>A11</f>
        <v>SASKA WARSZAWA 5</v>
      </c>
      <c r="B50" s="26" t="str">
        <f>A5</f>
        <v>MUKS KRÓTKA 2</v>
      </c>
      <c r="C50" s="43">
        <v>0</v>
      </c>
      <c r="D50" s="43" t="s">
        <v>29</v>
      </c>
      <c r="E50" s="43">
        <v>11</v>
      </c>
    </row>
    <row r="51" spans="1:5">
      <c r="A51" s="26" t="str">
        <f>A12</f>
        <v>OLIMP MIŃSK MAZ. 14</v>
      </c>
      <c r="B51" s="26" t="str">
        <f>A4</f>
        <v>OLIMP MIŃSK MAZ. 5</v>
      </c>
      <c r="C51" s="43">
        <v>9</v>
      </c>
      <c r="D51" s="43" t="s">
        <v>29</v>
      </c>
      <c r="E51" s="43">
        <v>11</v>
      </c>
    </row>
  </sheetData>
  <autoFilter ref="A15:B5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1C0F-6C03-426F-9B34-3162D9D3C579}">
  <dimension ref="A1:AC51"/>
  <sheetViews>
    <sheetView workbookViewId="0">
      <selection activeCell="F16" sqref="F16"/>
    </sheetView>
  </sheetViews>
  <sheetFormatPr defaultColWidth="8.85546875" defaultRowHeight="15"/>
  <cols>
    <col min="1" max="2" width="21.28515625" style="31" bestFit="1" customWidth="1"/>
    <col min="3" max="5" width="3.85546875" style="31" customWidth="1"/>
    <col min="6" max="6" width="8.28515625" style="31" customWidth="1"/>
    <col min="7" max="7" width="8.28515625" style="32" customWidth="1"/>
    <col min="8" max="8" width="20.7109375" style="32" bestFit="1" customWidth="1"/>
    <col min="9" max="9" width="11.7109375" style="32" customWidth="1"/>
    <col min="10" max="16" width="11.7109375" style="31" customWidth="1"/>
    <col min="17" max="17" width="11.42578125" style="31" customWidth="1"/>
    <col min="18" max="18" width="8.85546875" style="31" hidden="1" customWidth="1"/>
    <col min="19" max="26" width="9.140625" style="31" hidden="1" customWidth="1"/>
    <col min="27" max="27" width="7" style="31" hidden="1" customWidth="1"/>
    <col min="28" max="28" width="9.140625" style="31" hidden="1" customWidth="1"/>
    <col min="29" max="29" width="8.85546875" style="31" hidden="1" customWidth="1"/>
    <col min="30" max="16384" width="8.85546875" style="31"/>
  </cols>
  <sheetData>
    <row r="1" spans="1:28" ht="28.5">
      <c r="A1" s="30" t="s">
        <v>79</v>
      </c>
      <c r="S1" s="31" t="s">
        <v>1</v>
      </c>
      <c r="T1" s="31" t="b">
        <f>ROWS(homescore)-COUNT(homescore)=0</f>
        <v>1</v>
      </c>
    </row>
    <row r="2" spans="1:28">
      <c r="H2" s="33" t="s">
        <v>3</v>
      </c>
      <c r="I2" s="34" t="s">
        <v>4</v>
      </c>
      <c r="J2" s="34" t="s">
        <v>5</v>
      </c>
      <c r="K2" s="34" t="s">
        <v>6</v>
      </c>
      <c r="L2" s="34" t="s">
        <v>7</v>
      </c>
      <c r="M2" s="34" t="s">
        <v>8</v>
      </c>
      <c r="N2" s="34" t="s">
        <v>9</v>
      </c>
      <c r="O2" s="35" t="s">
        <v>10</v>
      </c>
      <c r="P2" s="35" t="s">
        <v>11</v>
      </c>
      <c r="T2" s="36" t="s">
        <v>4</v>
      </c>
      <c r="U2" s="37" t="s">
        <v>12</v>
      </c>
      <c r="V2" s="37" t="s">
        <v>13</v>
      </c>
      <c r="W2" s="38" t="s">
        <v>14</v>
      </c>
      <c r="X2" s="33" t="s">
        <v>15</v>
      </c>
      <c r="Y2" s="37" t="s">
        <v>16</v>
      </c>
      <c r="Z2" s="39" t="s">
        <v>17</v>
      </c>
      <c r="AA2" s="38" t="s">
        <v>13</v>
      </c>
      <c r="AB2" s="38" t="s">
        <v>18</v>
      </c>
    </row>
    <row r="3" spans="1:28">
      <c r="A3" s="40" t="s">
        <v>3</v>
      </c>
      <c r="B3" s="41"/>
      <c r="H3" s="42" t="str">
        <f t="array" ref="H3">INDEX($S$3:$S$11,MATCH(LARGE($AB$3:$AB$11-ROW($AB$3:$AB$11)/COUNT($AB$3:$AB$11),ROW(H3)-ROW(H$3)+1),$AB$3:$AB$11-ROW($AB$3:$AB$11)/COUNT($AB$3:$AB$11),0))</f>
        <v>LEN ŻYRARDÓW 4</v>
      </c>
      <c r="I3" s="43">
        <f t="shared" ref="I3:I11" si="0">VLOOKUP($H3,$S$3:$AA$11,2,0)</f>
        <v>8</v>
      </c>
      <c r="J3" s="43">
        <f t="shared" ref="J3:J11" si="1">VLOOKUP($H3,$S$3:$AA$11,3,0)</f>
        <v>7</v>
      </c>
      <c r="K3" s="43">
        <f t="shared" ref="K3:K11" si="2">VLOOKUP($H3,$S$3:$AA$11,4,0)</f>
        <v>1</v>
      </c>
      <c r="L3" s="43">
        <f t="shared" ref="L3:L11" si="3">VLOOKUP($H3,$S$3:$AA$11,5,0)</f>
        <v>79</v>
      </c>
      <c r="M3" s="43">
        <f t="shared" ref="M3:M11" si="4">VLOOKUP($H3,$S$3:$AA$11,6,0)</f>
        <v>44</v>
      </c>
      <c r="N3" s="43">
        <f t="shared" ref="N3:N11" si="5">VLOOKUP($H3,$S$3:$AA$11,7,0)</f>
        <v>35</v>
      </c>
      <c r="O3" s="44">
        <f>IF(Tabela189141517[[#This Row],[STRACONE]]=0,0,Tabela189141517[[#This Row],[ZDOBYTE]]/Tabela189141517[[#This Row],[STRACONE]])</f>
        <v>1.7954545454545454</v>
      </c>
      <c r="P3" s="45">
        <f t="shared" ref="P3:P11" si="6">VLOOKUP($H3,$S$3:$AB$11,9,0)</f>
        <v>14</v>
      </c>
      <c r="S3" s="46" t="str">
        <f t="shared" ref="S3:S11" si="7">A4</f>
        <v>SPARTA WARSZAWA 3</v>
      </c>
      <c r="T3" s="47">
        <f t="array" ref="T3">SUM((home=S3)*(ISNUMBER(homescore)),(visitor=S3)*(ISNUMBER(visitorscore)))</f>
        <v>8</v>
      </c>
      <c r="U3" s="32">
        <f t="array" ref="U3">SUM((home=S3)*(homescore&gt;visitorscore),(visitor=S3)*(visitorscore&gt;homescore))</f>
        <v>6</v>
      </c>
      <c r="V3" s="32">
        <f t="array" ref="V3">SUM((home=S3)*(homescore&lt;visitorscore),(visitor=S3)*(visitorscore&lt;homescore))</f>
        <v>2</v>
      </c>
      <c r="W3" s="48">
        <f t="shared" ref="W3" si="8">SUMIF(home,S3,homescore)+SUMIF(visitor,S3,visitorscore)</f>
        <v>80</v>
      </c>
      <c r="X3" s="49">
        <f t="shared" ref="X3" si="9">SUMIF(home,S3,visitorscore)+SUMIF(visitor,S3,homescore)</f>
        <v>42</v>
      </c>
      <c r="Y3" s="32">
        <f>W3-X3</f>
        <v>38</v>
      </c>
      <c r="Z3" s="50">
        <f>IF(X3&gt;0,W3/X3,0)</f>
        <v>1.9047619047619047</v>
      </c>
      <c r="AA3" s="48">
        <f>2*U3</f>
        <v>12</v>
      </c>
      <c r="AB3" s="51">
        <f>W3+Z3*1000+Y3*10000+AA3*100000000</f>
        <v>1200381984.7619047</v>
      </c>
    </row>
    <row r="4" spans="1:28">
      <c r="A4" s="78" t="s">
        <v>80</v>
      </c>
      <c r="H4" s="42" t="str">
        <f t="array" ref="H4">INDEX($S$3:$S$11,MATCH(LARGE($AB$3:$AB$11-ROW($AB$3:$AB$11)/COUNT($AB$3:$AB$11),ROW(H4)-ROW(H$3)+1),$AB$3:$AB$11-ROW($AB$3:$AB$11)/COUNT($AB$3:$AB$11),0))</f>
        <v>UKS LESZNOWOLA 14</v>
      </c>
      <c r="I4" s="43">
        <f t="shared" si="0"/>
        <v>8</v>
      </c>
      <c r="J4" s="43">
        <f t="shared" si="1"/>
        <v>6</v>
      </c>
      <c r="K4" s="43">
        <f t="shared" si="2"/>
        <v>2</v>
      </c>
      <c r="L4" s="43">
        <f t="shared" si="3"/>
        <v>80</v>
      </c>
      <c r="M4" s="43">
        <f t="shared" si="4"/>
        <v>30</v>
      </c>
      <c r="N4" s="43">
        <f t="shared" si="5"/>
        <v>50</v>
      </c>
      <c r="O4" s="44">
        <f>IF(Tabela189141517[[#This Row],[STRACONE]]=0,0,Tabela189141517[[#This Row],[ZDOBYTE]]/Tabela189141517[[#This Row],[STRACONE]])</f>
        <v>2.6666666666666665</v>
      </c>
      <c r="P4" s="45">
        <f t="shared" si="6"/>
        <v>12</v>
      </c>
      <c r="S4" s="53" t="str">
        <f t="shared" si="7"/>
        <v>LEN ŻYRARDÓW 4</v>
      </c>
      <c r="T4" s="47">
        <f t="array" ref="T4">SUM((home=S4)*(ISNUMBER(homescore)),(visitor=S4)*(ISNUMBER(visitorscore)))</f>
        <v>8</v>
      </c>
      <c r="U4" s="32">
        <f t="array" ref="U4">SUM((home=S4)*(homescore&gt;visitorscore),(visitor=S4)*(visitorscore&gt;homescore))</f>
        <v>7</v>
      </c>
      <c r="V4" s="32">
        <f t="array" ref="V4">SUM((home=S4)*(homescore&lt;visitorscore),(visitor=S4)*(visitorscore&lt;homescore))</f>
        <v>1</v>
      </c>
      <c r="W4" s="48">
        <f t="shared" ref="W4" si="10">SUMIF(home,S4,homescore)+SUMIF(visitor,S4,visitorscore)</f>
        <v>79</v>
      </c>
      <c r="X4" s="49">
        <f t="shared" ref="X4" si="11">SUMIF(home,S4,visitorscore)+SUMIF(visitor,S4,homescore)</f>
        <v>44</v>
      </c>
      <c r="Y4" s="32">
        <f t="shared" ref="Y4:Y11" si="12">W4-X4</f>
        <v>35</v>
      </c>
      <c r="Z4" s="50">
        <f t="shared" ref="Z4:Z11" si="13">IF(X4&gt;0,W4/X4,0)</f>
        <v>1.7954545454545454</v>
      </c>
      <c r="AA4" s="48">
        <f t="shared" ref="AA4:AA11" si="14">2*U4</f>
        <v>14</v>
      </c>
      <c r="AB4" s="51">
        <f t="shared" ref="AB4:AB11" si="15">W4+Z4*1000+Y4*10000+AA4*100000000</f>
        <v>1400351874.4545455</v>
      </c>
    </row>
    <row r="5" spans="1:28">
      <c r="A5" s="78" t="s">
        <v>81</v>
      </c>
      <c r="H5" s="42" t="str">
        <f t="array" ref="H5">INDEX($S$3:$S$11,MATCH(LARGE($AB$3:$AB$11-ROW($AB$3:$AB$11)/COUNT($AB$3:$AB$11),ROW(H5)-ROW(H$3)+1),$AB$3:$AB$11-ROW($AB$3:$AB$11)/COUNT($AB$3:$AB$11),0))</f>
        <v>SPARTA WARSZAWA 3</v>
      </c>
      <c r="I5" s="43">
        <f t="shared" si="0"/>
        <v>8</v>
      </c>
      <c r="J5" s="43">
        <f t="shared" si="1"/>
        <v>6</v>
      </c>
      <c r="K5" s="43">
        <f t="shared" si="2"/>
        <v>2</v>
      </c>
      <c r="L5" s="43">
        <f t="shared" si="3"/>
        <v>80</v>
      </c>
      <c r="M5" s="43">
        <f t="shared" si="4"/>
        <v>42</v>
      </c>
      <c r="N5" s="43">
        <f t="shared" si="5"/>
        <v>38</v>
      </c>
      <c r="O5" s="44">
        <f>IF(Tabela189141517[[#This Row],[STRACONE]]=0,0,Tabela189141517[[#This Row],[ZDOBYTE]]/Tabela189141517[[#This Row],[STRACONE]])</f>
        <v>1.9047619047619047</v>
      </c>
      <c r="P5" s="45">
        <f t="shared" si="6"/>
        <v>12</v>
      </c>
      <c r="S5" s="53" t="str">
        <f t="shared" si="7"/>
        <v>ORLĘTA RASZYN 13</v>
      </c>
      <c r="T5" s="47">
        <f t="array" ref="T5">SUM((home=S5)*(ISNUMBER(homescore)),(visitor=S5)*(ISNUMBER(visitorscore)))</f>
        <v>8</v>
      </c>
      <c r="U5" s="32">
        <f t="array" ref="U5">SUM((home=S5)*(homescore&gt;visitorscore),(visitor=S5)*(visitorscore&gt;homescore))</f>
        <v>5</v>
      </c>
      <c r="V5" s="32">
        <f t="array" ref="V5">SUM((home=S5)*(homescore&lt;visitorscore),(visitor=S5)*(visitorscore&lt;homescore))</f>
        <v>1</v>
      </c>
      <c r="W5" s="48">
        <f t="shared" ref="W5" si="16">SUMIF(home,S5,homescore)+SUMIF(visitor,S5,visitorscore)</f>
        <v>55</v>
      </c>
      <c r="X5" s="49">
        <f t="shared" ref="X5" si="17">SUMIF(home,S5,visitorscore)+SUMIF(visitor,S5,homescore)</f>
        <v>30</v>
      </c>
      <c r="Y5" s="32">
        <f t="shared" si="12"/>
        <v>25</v>
      </c>
      <c r="Z5" s="50">
        <f t="shared" si="13"/>
        <v>1.8333333333333333</v>
      </c>
      <c r="AA5" s="48">
        <f t="shared" si="14"/>
        <v>10</v>
      </c>
      <c r="AB5" s="51">
        <f t="shared" si="15"/>
        <v>1000251888.3333334</v>
      </c>
    </row>
    <row r="6" spans="1:28">
      <c r="A6" s="78" t="s">
        <v>82</v>
      </c>
      <c r="H6" s="42" t="str">
        <f t="array" ref="H6">INDEX($S$3:$S$11,MATCH(LARGE($AB$3:$AB$11-ROW($AB$3:$AB$11)/COUNT($AB$3:$AB$11),ROW(H6)-ROW(H$3)+1),$AB$3:$AB$11-ROW($AB$3:$AB$11)/COUNT($AB$3:$AB$11),0))</f>
        <v>ORLĘTA RASZYN 13</v>
      </c>
      <c r="I6" s="43">
        <f t="shared" si="0"/>
        <v>8</v>
      </c>
      <c r="J6" s="43">
        <f t="shared" si="1"/>
        <v>5</v>
      </c>
      <c r="K6" s="43">
        <f t="shared" si="2"/>
        <v>1</v>
      </c>
      <c r="L6" s="43">
        <f t="shared" si="3"/>
        <v>55</v>
      </c>
      <c r="M6" s="43">
        <f t="shared" si="4"/>
        <v>30</v>
      </c>
      <c r="N6" s="43">
        <f t="shared" si="5"/>
        <v>25</v>
      </c>
      <c r="O6" s="44">
        <f>IF(Tabela189141517[[#This Row],[STRACONE]]=0,0,Tabela189141517[[#This Row],[ZDOBYTE]]/Tabela189141517[[#This Row],[STRACONE]])</f>
        <v>1.8333333333333333</v>
      </c>
      <c r="P6" s="45">
        <f t="shared" si="6"/>
        <v>10</v>
      </c>
      <c r="S6" s="53" t="str">
        <f t="shared" si="7"/>
        <v>UKS LESZNOWOLA 14</v>
      </c>
      <c r="T6" s="47">
        <f t="array" ref="T6">SUM((home=S6)*(ISNUMBER(homescore)),(visitor=S6)*(ISNUMBER(visitorscore)))</f>
        <v>8</v>
      </c>
      <c r="U6" s="32">
        <f t="array" ref="U6">SUM((home=S6)*(homescore&gt;visitorscore),(visitor=S6)*(visitorscore&gt;homescore))</f>
        <v>6</v>
      </c>
      <c r="V6" s="32">
        <f t="array" ref="V6">SUM((home=S6)*(homescore&lt;visitorscore),(visitor=S6)*(visitorscore&lt;homescore))</f>
        <v>2</v>
      </c>
      <c r="W6" s="48">
        <f t="shared" ref="W6" si="18">SUMIF(home,S6,homescore)+SUMIF(visitor,S6,visitorscore)</f>
        <v>80</v>
      </c>
      <c r="X6" s="49">
        <f t="shared" ref="X6" si="19">SUMIF(home,S6,visitorscore)+SUMIF(visitor,S6,homescore)</f>
        <v>30</v>
      </c>
      <c r="Y6" s="32">
        <f t="shared" si="12"/>
        <v>50</v>
      </c>
      <c r="Z6" s="50">
        <f t="shared" si="13"/>
        <v>2.6666666666666665</v>
      </c>
      <c r="AA6" s="48">
        <f t="shared" si="14"/>
        <v>12</v>
      </c>
      <c r="AB6" s="51">
        <f t="shared" si="15"/>
        <v>1200502746.6666667</v>
      </c>
    </row>
    <row r="7" spans="1:28">
      <c r="A7" s="78" t="s">
        <v>83</v>
      </c>
      <c r="H7" s="42" t="str">
        <f t="array" ref="H7">INDEX($S$3:$S$11,MATCH(LARGE($AB$3:$AB$11-ROW($AB$3:$AB$11)/COUNT($AB$3:$AB$11),ROW(H7)-ROW(H$3)+1),$AB$3:$AB$11-ROW($AB$3:$AB$11)/COUNT($AB$3:$AB$11),0))</f>
        <v>OLIMP MIŃSK MAZ. 11</v>
      </c>
      <c r="I7" s="43">
        <f t="shared" si="0"/>
        <v>8</v>
      </c>
      <c r="J7" s="43">
        <f t="shared" si="1"/>
        <v>1</v>
      </c>
      <c r="K7" s="43">
        <f t="shared" si="2"/>
        <v>4</v>
      </c>
      <c r="L7" s="43">
        <f t="shared" si="3"/>
        <v>43</v>
      </c>
      <c r="M7" s="43">
        <f t="shared" si="4"/>
        <v>54</v>
      </c>
      <c r="N7" s="43">
        <f t="shared" si="5"/>
        <v>-11</v>
      </c>
      <c r="O7" s="44">
        <f>IF(Tabela189141517[[#This Row],[STRACONE]]=0,0,Tabela189141517[[#This Row],[ZDOBYTE]]/Tabela189141517[[#This Row],[STRACONE]])</f>
        <v>0.79629629629629628</v>
      </c>
      <c r="P7" s="45">
        <f t="shared" si="6"/>
        <v>2</v>
      </c>
      <c r="S7" s="53" t="str">
        <f t="shared" si="7"/>
        <v>UKS LESZNOWOLA 11</v>
      </c>
      <c r="T7" s="47">
        <f t="array" ref="T7">SUM((home=S7)*(ISNUMBER(homescore)),(visitor=S7)*(ISNUMBER(visitorscore)))</f>
        <v>8</v>
      </c>
      <c r="U7" s="32">
        <f t="array" ref="U7">SUM((home=S7)*(homescore&gt;visitorscore),(visitor=S7)*(visitorscore&gt;homescore))</f>
        <v>0</v>
      </c>
      <c r="V7" s="32">
        <f t="array" ref="V7">SUM((home=S7)*(homescore&lt;visitorscore),(visitor=S7)*(visitorscore&lt;homescore))</f>
        <v>5</v>
      </c>
      <c r="W7" s="48">
        <f t="shared" ref="W7" si="20">SUMIF(home,S7,homescore)+SUMIF(visitor,S7,visitorscore)</f>
        <v>28</v>
      </c>
      <c r="X7" s="49">
        <f t="shared" ref="X7" si="21">SUMIF(home,S7,visitorscore)+SUMIF(visitor,S7,homescore)</f>
        <v>55</v>
      </c>
      <c r="Y7" s="32">
        <f t="shared" si="12"/>
        <v>-27</v>
      </c>
      <c r="Z7" s="50">
        <f t="shared" si="13"/>
        <v>0.50909090909090904</v>
      </c>
      <c r="AA7" s="48">
        <f t="shared" si="14"/>
        <v>0</v>
      </c>
      <c r="AB7" s="51">
        <f t="shared" si="15"/>
        <v>-269462.90909090912</v>
      </c>
    </row>
    <row r="8" spans="1:28">
      <c r="A8" s="78" t="s">
        <v>84</v>
      </c>
      <c r="H8" s="42" t="str">
        <f t="array" ref="H8">INDEX($S$3:$S$11,MATCH(LARGE($AB$3:$AB$11-ROW($AB$3:$AB$11)/COUNT($AB$3:$AB$11),ROW(H8)-ROW(H$3)+1),$AB$3:$AB$11-ROW($AB$3:$AB$11)/COUNT($AB$3:$AB$11),0))</f>
        <v>UKS LESZNOWOLA 11</v>
      </c>
      <c r="I8" s="43">
        <f t="shared" si="0"/>
        <v>8</v>
      </c>
      <c r="J8" s="43">
        <f t="shared" si="1"/>
        <v>0</v>
      </c>
      <c r="K8" s="43">
        <f t="shared" si="2"/>
        <v>5</v>
      </c>
      <c r="L8" s="43">
        <f t="shared" si="3"/>
        <v>28</v>
      </c>
      <c r="M8" s="43">
        <f t="shared" si="4"/>
        <v>55</v>
      </c>
      <c r="N8" s="43">
        <f t="shared" si="5"/>
        <v>-27</v>
      </c>
      <c r="O8" s="44">
        <f>IF(Tabela189141517[[#This Row],[STRACONE]]=0,0,Tabela189141517[[#This Row],[ZDOBYTE]]/Tabela189141517[[#This Row],[STRACONE]])</f>
        <v>0.50909090909090904</v>
      </c>
      <c r="P8" s="45">
        <f t="shared" si="6"/>
        <v>0</v>
      </c>
      <c r="S8" s="53" t="str">
        <f t="shared" si="7"/>
        <v>OLIMP MIŃSK MAZ. 11</v>
      </c>
      <c r="T8" s="47">
        <f t="array" ref="T8">SUM((home=S8)*(ISNUMBER(homescore)),(visitor=S8)*(ISNUMBER(visitorscore)))</f>
        <v>8</v>
      </c>
      <c r="U8" s="32">
        <f t="array" ref="U8">SUM((home=S8)*(homescore&gt;visitorscore),(visitor=S8)*(visitorscore&gt;homescore))</f>
        <v>1</v>
      </c>
      <c r="V8" s="32">
        <f t="array" ref="V8">SUM((home=S8)*(homescore&lt;visitorscore),(visitor=S8)*(visitorscore&lt;homescore))</f>
        <v>4</v>
      </c>
      <c r="W8" s="48">
        <f t="shared" ref="W8" si="22">SUMIF(home,S8,homescore)+SUMIF(visitor,S8,visitorscore)</f>
        <v>43</v>
      </c>
      <c r="X8" s="49">
        <f t="shared" ref="X8" si="23">SUMIF(home,S8,visitorscore)+SUMIF(visitor,S8,homescore)</f>
        <v>54</v>
      </c>
      <c r="Y8" s="32">
        <f t="shared" si="12"/>
        <v>-11</v>
      </c>
      <c r="Z8" s="50">
        <f t="shared" si="13"/>
        <v>0.79629629629629628</v>
      </c>
      <c r="AA8" s="48">
        <f t="shared" si="14"/>
        <v>2</v>
      </c>
      <c r="AB8" s="51">
        <f t="shared" si="15"/>
        <v>199890839.2962963</v>
      </c>
    </row>
    <row r="9" spans="1:28">
      <c r="A9" s="78" t="s">
        <v>85</v>
      </c>
      <c r="H9" s="42" t="str">
        <f t="array" ref="H9">INDEX($S$3:$S$11,MATCH(LARGE($AB$3:$AB$11-ROW($AB$3:$AB$11)/COUNT($AB$3:$AB$11),ROW(H9)-ROW(H$3)+1),$AB$3:$AB$11-ROW($AB$3:$AB$11)/COUNT($AB$3:$AB$11),0))</f>
        <v>ORLĘTA RASZYN 7</v>
      </c>
      <c r="I9" s="43">
        <f t="shared" si="0"/>
        <v>8</v>
      </c>
      <c r="J9" s="43">
        <f t="shared" si="1"/>
        <v>0</v>
      </c>
      <c r="K9" s="43">
        <f t="shared" si="2"/>
        <v>3</v>
      </c>
      <c r="L9" s="43">
        <f t="shared" si="3"/>
        <v>0</v>
      </c>
      <c r="M9" s="43">
        <f t="shared" si="4"/>
        <v>33</v>
      </c>
      <c r="N9" s="43">
        <f t="shared" si="5"/>
        <v>-33</v>
      </c>
      <c r="O9" s="44">
        <f>IF(Tabela189141517[[#This Row],[STRACONE]]=0,0,Tabela189141517[[#This Row],[ZDOBYTE]]/Tabela189141517[[#This Row],[STRACONE]])</f>
        <v>0</v>
      </c>
      <c r="P9" s="45">
        <f t="shared" si="6"/>
        <v>0</v>
      </c>
      <c r="S9" s="53" t="str">
        <f t="shared" si="7"/>
        <v>GLKS NADARZYN 11</v>
      </c>
      <c r="T9" s="47">
        <f t="array" ref="T9">SUM((home=S9)*(ISNUMBER(homescore)),(visitor=S9)*(ISNUMBER(visitorscore)))</f>
        <v>8</v>
      </c>
      <c r="U9" s="32">
        <f t="array" ref="U9">SUM((home=S9)*(homescore&gt;visitorscore),(visitor=S9)*(visitorscore&gt;homescore))</f>
        <v>0</v>
      </c>
      <c r="V9" s="32">
        <f t="array" ref="V9">SUM((home=S9)*(homescore&lt;visitorscore),(visitor=S9)*(visitorscore&lt;homescore))</f>
        <v>4</v>
      </c>
      <c r="W9" s="48">
        <f t="shared" ref="W9" si="24">SUMIF(home,S9,homescore)+SUMIF(visitor,S9,visitorscore)</f>
        <v>0</v>
      </c>
      <c r="X9" s="49">
        <f t="shared" ref="X9" si="25">SUMIF(home,S9,visitorscore)+SUMIF(visitor,S9,homescore)</f>
        <v>44</v>
      </c>
      <c r="Y9" s="32">
        <f t="shared" si="12"/>
        <v>-44</v>
      </c>
      <c r="Z9" s="50">
        <f t="shared" si="13"/>
        <v>0</v>
      </c>
      <c r="AA9" s="48">
        <f t="shared" si="14"/>
        <v>0</v>
      </c>
      <c r="AB9" s="51">
        <f t="shared" si="15"/>
        <v>-440000</v>
      </c>
    </row>
    <row r="10" spans="1:28">
      <c r="A10" s="78" t="s">
        <v>86</v>
      </c>
      <c r="H10" s="42" t="str">
        <f t="array" ref="H10">INDEX($S$3:$S$11,MATCH(LARGE($AB$3:$AB$11-ROW($AB$3:$AB$11)/COUNT($AB$3:$AB$11),ROW(H10)-ROW(H$3)+1),$AB$3:$AB$11-ROW($AB$3:$AB$11)/COUNT($AB$3:$AB$11),0))</f>
        <v>LEN ŻYRARDÓW 12</v>
      </c>
      <c r="I10" s="43">
        <f t="shared" si="0"/>
        <v>8</v>
      </c>
      <c r="J10" s="43">
        <f t="shared" si="1"/>
        <v>0</v>
      </c>
      <c r="K10" s="43">
        <f t="shared" si="2"/>
        <v>3</v>
      </c>
      <c r="L10" s="43">
        <f t="shared" si="3"/>
        <v>0</v>
      </c>
      <c r="M10" s="43">
        <f t="shared" si="4"/>
        <v>33</v>
      </c>
      <c r="N10" s="43">
        <f t="shared" si="5"/>
        <v>-33</v>
      </c>
      <c r="O10" s="44">
        <f>IF(Tabela189141517[[#This Row],[STRACONE]]=0,0,Tabela189141517[[#This Row],[ZDOBYTE]]/Tabela189141517[[#This Row],[STRACONE]])</f>
        <v>0</v>
      </c>
      <c r="P10" s="45">
        <f t="shared" si="6"/>
        <v>0</v>
      </c>
      <c r="S10" s="53" t="str">
        <f t="shared" si="7"/>
        <v>ORLĘTA RASZYN 7</v>
      </c>
      <c r="T10" s="47">
        <f t="array" ref="T10">SUM((home=S10)*(ISNUMBER(homescore)),(visitor=S10)*(ISNUMBER(visitorscore)))</f>
        <v>8</v>
      </c>
      <c r="U10" s="32">
        <f t="array" ref="U10">SUM((home=S10)*(homescore&gt;visitorscore),(visitor=S10)*(visitorscore&gt;homescore))</f>
        <v>0</v>
      </c>
      <c r="V10" s="32">
        <f t="array" ref="V10">SUM((home=S10)*(homescore&lt;visitorscore),(visitor=S10)*(visitorscore&lt;homescore))</f>
        <v>3</v>
      </c>
      <c r="W10" s="48">
        <f t="shared" ref="W10" si="26">SUMIF(home,S10,homescore)+SUMIF(visitor,S10,visitorscore)</f>
        <v>0</v>
      </c>
      <c r="X10" s="49">
        <f t="shared" ref="X10" si="27">SUMIF(home,S10,visitorscore)+SUMIF(visitor,S10,homescore)</f>
        <v>33</v>
      </c>
      <c r="Y10" s="32">
        <f t="shared" si="12"/>
        <v>-33</v>
      </c>
      <c r="Z10" s="50">
        <f t="shared" si="13"/>
        <v>0</v>
      </c>
      <c r="AA10" s="48">
        <f t="shared" si="14"/>
        <v>0</v>
      </c>
      <c r="AB10" s="51">
        <f t="shared" si="15"/>
        <v>-330000</v>
      </c>
    </row>
    <row r="11" spans="1:28">
      <c r="A11" s="78" t="s">
        <v>87</v>
      </c>
      <c r="H11" s="42" t="str">
        <f t="array" ref="H11">INDEX($S$3:$S$11,MATCH(LARGE($AB$3:$AB$11-ROW($AB$3:$AB$11)/COUNT($AB$3:$AB$11),ROW(H11)-ROW(H$3)+1),$AB$3:$AB$11-ROW($AB$3:$AB$11)/COUNT($AB$3:$AB$11),0))</f>
        <v>GLKS NADARZYN 11</v>
      </c>
      <c r="I11" s="43">
        <f t="shared" si="0"/>
        <v>8</v>
      </c>
      <c r="J11" s="43">
        <f t="shared" si="1"/>
        <v>0</v>
      </c>
      <c r="K11" s="43">
        <f t="shared" si="2"/>
        <v>4</v>
      </c>
      <c r="L11" s="43">
        <f t="shared" si="3"/>
        <v>0</v>
      </c>
      <c r="M11" s="43">
        <f t="shared" si="4"/>
        <v>44</v>
      </c>
      <c r="N11" s="43">
        <f t="shared" si="5"/>
        <v>-44</v>
      </c>
      <c r="O11" s="44">
        <f>IF(Tabela189141517[[#This Row],[STRACONE]]=0,0,Tabela189141517[[#This Row],[ZDOBYTE]]/Tabela189141517[[#This Row],[STRACONE]])</f>
        <v>0</v>
      </c>
      <c r="P11" s="45">
        <f t="shared" si="6"/>
        <v>0</v>
      </c>
      <c r="S11" s="53" t="str">
        <f t="shared" si="7"/>
        <v>LEN ŻYRARDÓW 12</v>
      </c>
      <c r="T11" s="47">
        <f t="array" ref="T11">SUM((home=S11)*(ISNUMBER(homescore)),(visitor=S11)*(ISNUMBER(visitorscore)))</f>
        <v>8</v>
      </c>
      <c r="U11" s="32">
        <f t="array" ref="U11">SUM((home=S11)*(homescore&gt;visitorscore),(visitor=S11)*(visitorscore&gt;homescore))</f>
        <v>0</v>
      </c>
      <c r="V11" s="32">
        <f t="array" ref="V11">SUM((home=S11)*(homescore&lt;visitorscore),(visitor=S11)*(visitorscore&lt;homescore))</f>
        <v>3</v>
      </c>
      <c r="W11" s="48">
        <f t="shared" ref="W11" si="28">SUMIF(home,S11,homescore)+SUMIF(visitor,S11,visitorscore)</f>
        <v>0</v>
      </c>
      <c r="X11" s="49">
        <f t="shared" ref="X11" si="29">SUMIF(home,S11,visitorscore)+SUMIF(visitor,S11,homescore)</f>
        <v>33</v>
      </c>
      <c r="Y11" s="32">
        <f t="shared" si="12"/>
        <v>-33</v>
      </c>
      <c r="Z11" s="50">
        <f t="shared" si="13"/>
        <v>0</v>
      </c>
      <c r="AA11" s="48">
        <f t="shared" si="14"/>
        <v>0</v>
      </c>
      <c r="AB11" s="51">
        <f t="shared" si="15"/>
        <v>-330000</v>
      </c>
    </row>
    <row r="12" spans="1:28">
      <c r="A12" s="78" t="s">
        <v>88</v>
      </c>
    </row>
    <row r="15" spans="1:28">
      <c r="A15" s="40" t="s">
        <v>27</v>
      </c>
      <c r="B15" s="40" t="s">
        <v>68</v>
      </c>
      <c r="H15" s="54"/>
    </row>
    <row r="16" spans="1:28">
      <c r="A16" s="26" t="str">
        <f>A5</f>
        <v>LEN ŻYRARDÓW 4</v>
      </c>
      <c r="B16" s="26" t="str">
        <f>A12</f>
        <v>LEN ŻYRARDÓW 12</v>
      </c>
      <c r="C16" s="43">
        <v>11</v>
      </c>
      <c r="D16" s="43" t="s">
        <v>29</v>
      </c>
      <c r="E16" s="43">
        <v>0</v>
      </c>
      <c r="F16" s="32"/>
    </row>
    <row r="17" spans="1:29">
      <c r="A17" s="26" t="str">
        <f>A6</f>
        <v>ORLĘTA RASZYN 13</v>
      </c>
      <c r="B17" s="26" t="str">
        <f>A11</f>
        <v>ORLĘTA RASZYN 7</v>
      </c>
      <c r="C17" s="43">
        <v>0</v>
      </c>
      <c r="D17" s="43" t="s">
        <v>29</v>
      </c>
      <c r="E17" s="43">
        <v>0</v>
      </c>
      <c r="F17" s="32"/>
    </row>
    <row r="18" spans="1:29">
      <c r="A18" s="26" t="str">
        <f>A7</f>
        <v>UKS LESZNOWOLA 14</v>
      </c>
      <c r="B18" s="26" t="str">
        <f>A10</f>
        <v>GLKS NADARZYN 11</v>
      </c>
      <c r="C18" s="43">
        <v>11</v>
      </c>
      <c r="D18" s="43" t="s">
        <v>29</v>
      </c>
      <c r="E18" s="43">
        <v>0</v>
      </c>
      <c r="F18" s="32"/>
    </row>
    <row r="19" spans="1:29">
      <c r="A19" s="26" t="str">
        <f>A8</f>
        <v>UKS LESZNOWOLA 11</v>
      </c>
      <c r="B19" s="26" t="str">
        <f>A9</f>
        <v>OLIMP MIŃSK MAZ. 11</v>
      </c>
      <c r="C19" s="43">
        <v>10</v>
      </c>
      <c r="D19" s="43" t="s">
        <v>29</v>
      </c>
      <c r="E19" s="43">
        <v>11</v>
      </c>
      <c r="F19" s="32"/>
    </row>
    <row r="20" spans="1:29">
      <c r="A20" s="26" t="str">
        <f>A10</f>
        <v>GLKS NADARZYN 11</v>
      </c>
      <c r="B20" s="26" t="str">
        <f>A8</f>
        <v>UKS LESZNOWOLA 11</v>
      </c>
      <c r="C20" s="43">
        <v>0</v>
      </c>
      <c r="D20" s="43" t="s">
        <v>29</v>
      </c>
      <c r="E20" s="43">
        <v>0</v>
      </c>
      <c r="F20" s="32" t="s">
        <v>30</v>
      </c>
    </row>
    <row r="21" spans="1:29" s="32" customFormat="1">
      <c r="A21" s="26" t="str">
        <f>A11</f>
        <v>ORLĘTA RASZYN 7</v>
      </c>
      <c r="B21" s="26" t="str">
        <f>A7</f>
        <v>UKS LESZNOWOLA 14</v>
      </c>
      <c r="C21" s="43">
        <v>0</v>
      </c>
      <c r="D21" s="43" t="s">
        <v>29</v>
      </c>
      <c r="E21" s="43">
        <v>11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s="32" customFormat="1">
      <c r="A22" s="26" t="str">
        <f>A12</f>
        <v>LEN ŻYRARDÓW 12</v>
      </c>
      <c r="B22" s="26" t="str">
        <f>A6</f>
        <v>ORLĘTA RASZYN 13</v>
      </c>
      <c r="C22" s="43">
        <v>0</v>
      </c>
      <c r="D22" s="43" t="s">
        <v>29</v>
      </c>
      <c r="E22" s="43">
        <v>0</v>
      </c>
      <c r="F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s="32" customFormat="1">
      <c r="A23" s="26" t="str">
        <f>A4</f>
        <v>SPARTA WARSZAWA 3</v>
      </c>
      <c r="B23" s="26" t="str">
        <f>A5</f>
        <v>LEN ŻYRARDÓW 4</v>
      </c>
      <c r="C23" s="43">
        <v>8</v>
      </c>
      <c r="D23" s="43" t="s">
        <v>29</v>
      </c>
      <c r="E23" s="43">
        <v>11</v>
      </c>
      <c r="F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s="32" customFormat="1">
      <c r="A24" s="26" t="str">
        <f>A6</f>
        <v>ORLĘTA RASZYN 13</v>
      </c>
      <c r="B24" s="26" t="str">
        <f>A4</f>
        <v>SPARTA WARSZAWA 3</v>
      </c>
      <c r="C24" s="43">
        <v>11</v>
      </c>
      <c r="D24" s="43" t="s">
        <v>29</v>
      </c>
      <c r="E24" s="43">
        <v>6</v>
      </c>
      <c r="F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s="32" customFormat="1">
      <c r="A25" s="26" t="str">
        <f>A7</f>
        <v>UKS LESZNOWOLA 14</v>
      </c>
      <c r="B25" s="26" t="str">
        <f>A12</f>
        <v>LEN ŻYRARDÓW 12</v>
      </c>
      <c r="C25" s="43">
        <v>11</v>
      </c>
      <c r="D25" s="43" t="s">
        <v>29</v>
      </c>
      <c r="E25" s="43">
        <v>0</v>
      </c>
      <c r="F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>
      <c r="A26" s="26" t="str">
        <f>A8</f>
        <v>UKS LESZNOWOLA 11</v>
      </c>
      <c r="B26" s="26" t="str">
        <f>A11</f>
        <v>ORLĘTA RASZYN 7</v>
      </c>
      <c r="C26" s="43">
        <v>0</v>
      </c>
      <c r="D26" s="43" t="s">
        <v>29</v>
      </c>
      <c r="E26" s="43">
        <v>0</v>
      </c>
    </row>
    <row r="27" spans="1:29">
      <c r="A27" s="26" t="str">
        <f>A9</f>
        <v>OLIMP MIŃSK MAZ. 11</v>
      </c>
      <c r="B27" s="26" t="str">
        <f>A10</f>
        <v>GLKS NADARZYN 11</v>
      </c>
      <c r="C27" s="43">
        <v>0</v>
      </c>
      <c r="D27" s="43" t="s">
        <v>29</v>
      </c>
      <c r="E27" s="43">
        <v>0</v>
      </c>
    </row>
    <row r="28" spans="1:29">
      <c r="A28" s="26" t="str">
        <f>A12</f>
        <v>LEN ŻYRARDÓW 12</v>
      </c>
      <c r="B28" s="26" t="str">
        <f>A8</f>
        <v>UKS LESZNOWOLA 11</v>
      </c>
      <c r="C28" s="43">
        <v>0</v>
      </c>
      <c r="D28" s="43" t="s">
        <v>29</v>
      </c>
      <c r="E28" s="43">
        <v>0</v>
      </c>
    </row>
    <row r="29" spans="1:29">
      <c r="A29" s="26" t="str">
        <f>A11</f>
        <v>ORLĘTA RASZYN 7</v>
      </c>
      <c r="B29" s="26" t="str">
        <f>A9</f>
        <v>OLIMP MIŃSK MAZ. 11</v>
      </c>
      <c r="C29" s="43">
        <v>0</v>
      </c>
      <c r="D29" s="43" t="s">
        <v>29</v>
      </c>
      <c r="E29" s="43">
        <v>0</v>
      </c>
    </row>
    <row r="30" spans="1:29">
      <c r="A30" s="26" t="str">
        <f>A4</f>
        <v>SPARTA WARSZAWA 3</v>
      </c>
      <c r="B30" s="26" t="str">
        <f>A7</f>
        <v>UKS LESZNOWOLA 14</v>
      </c>
      <c r="C30" s="43">
        <v>11</v>
      </c>
      <c r="D30" s="43" t="s">
        <v>29</v>
      </c>
      <c r="E30" s="43">
        <v>6</v>
      </c>
    </row>
    <row r="31" spans="1:29">
      <c r="A31" s="26" t="str">
        <f>A5</f>
        <v>LEN ŻYRARDÓW 4</v>
      </c>
      <c r="B31" s="26" t="str">
        <f>A6</f>
        <v>ORLĘTA RASZYN 13</v>
      </c>
      <c r="C31" s="43">
        <v>2</v>
      </c>
      <c r="D31" s="43" t="s">
        <v>29</v>
      </c>
      <c r="E31" s="43">
        <v>11</v>
      </c>
    </row>
    <row r="32" spans="1:29">
      <c r="A32" s="26" t="str">
        <f>A7</f>
        <v>UKS LESZNOWOLA 14</v>
      </c>
      <c r="B32" s="26" t="str">
        <f>A5</f>
        <v>LEN ŻYRARDÓW 4</v>
      </c>
      <c r="C32" s="43">
        <v>8</v>
      </c>
      <c r="D32" s="43" t="s">
        <v>29</v>
      </c>
      <c r="E32" s="43">
        <v>11</v>
      </c>
    </row>
    <row r="33" spans="1:5">
      <c r="A33" s="26" t="str">
        <f>A8</f>
        <v>UKS LESZNOWOLA 11</v>
      </c>
      <c r="B33" s="26" t="str">
        <f>A4</f>
        <v>SPARTA WARSZAWA 3</v>
      </c>
      <c r="C33" s="43">
        <v>8</v>
      </c>
      <c r="D33" s="43" t="s">
        <v>29</v>
      </c>
      <c r="E33" s="43">
        <v>11</v>
      </c>
    </row>
    <row r="34" spans="1:5">
      <c r="A34" s="26" t="str">
        <f>A9</f>
        <v>OLIMP MIŃSK MAZ. 11</v>
      </c>
      <c r="B34" s="26" t="str">
        <f>A12</f>
        <v>LEN ŻYRARDÓW 12</v>
      </c>
      <c r="C34" s="43">
        <v>0</v>
      </c>
      <c r="D34" s="43" t="s">
        <v>29</v>
      </c>
      <c r="E34" s="43">
        <v>0</v>
      </c>
    </row>
    <row r="35" spans="1:5">
      <c r="A35" s="26" t="str">
        <f>A10</f>
        <v>GLKS NADARZYN 11</v>
      </c>
      <c r="B35" s="26" t="str">
        <f>A11</f>
        <v>ORLĘTA RASZYN 7</v>
      </c>
      <c r="C35" s="43">
        <v>0</v>
      </c>
      <c r="D35" s="43" t="s">
        <v>29</v>
      </c>
      <c r="E35" s="43">
        <v>0</v>
      </c>
    </row>
    <row r="36" spans="1:5">
      <c r="A36" s="26" t="str">
        <f>A12</f>
        <v>LEN ŻYRARDÓW 12</v>
      </c>
      <c r="B36" s="26" t="str">
        <f>A10</f>
        <v>GLKS NADARZYN 11</v>
      </c>
      <c r="C36" s="43">
        <v>0</v>
      </c>
      <c r="D36" s="43" t="s">
        <v>29</v>
      </c>
      <c r="E36" s="43">
        <v>0</v>
      </c>
    </row>
    <row r="37" spans="1:5">
      <c r="A37" s="26" t="str">
        <f>A4</f>
        <v>SPARTA WARSZAWA 3</v>
      </c>
      <c r="B37" s="26" t="str">
        <f>A9</f>
        <v>OLIMP MIŃSK MAZ. 11</v>
      </c>
      <c r="C37" s="43">
        <v>11</v>
      </c>
      <c r="D37" s="43" t="s">
        <v>29</v>
      </c>
      <c r="E37" s="43">
        <v>6</v>
      </c>
    </row>
    <row r="38" spans="1:5">
      <c r="A38" s="26" t="str">
        <f>A5</f>
        <v>LEN ŻYRARDÓW 4</v>
      </c>
      <c r="B38" s="26" t="str">
        <f>A8</f>
        <v>UKS LESZNOWOLA 11</v>
      </c>
      <c r="C38" s="43">
        <v>11</v>
      </c>
      <c r="D38" s="43" t="s">
        <v>29</v>
      </c>
      <c r="E38" s="43">
        <v>8</v>
      </c>
    </row>
    <row r="39" spans="1:5">
      <c r="A39" s="26" t="str">
        <f>A6</f>
        <v>ORLĘTA RASZYN 13</v>
      </c>
      <c r="B39" s="26" t="str">
        <f>A7</f>
        <v>UKS LESZNOWOLA 14</v>
      </c>
      <c r="C39" s="43">
        <v>0</v>
      </c>
      <c r="D39" s="43" t="s">
        <v>29</v>
      </c>
      <c r="E39" s="43">
        <v>11</v>
      </c>
    </row>
    <row r="40" spans="1:5">
      <c r="A40" s="26" t="str">
        <f>A8</f>
        <v>UKS LESZNOWOLA 11</v>
      </c>
      <c r="B40" s="26" t="str">
        <f>A6</f>
        <v>ORLĘTA RASZYN 13</v>
      </c>
      <c r="C40" s="43">
        <v>2</v>
      </c>
      <c r="D40" s="43" t="s">
        <v>29</v>
      </c>
      <c r="E40" s="43">
        <v>11</v>
      </c>
    </row>
    <row r="41" spans="1:5">
      <c r="A41" s="26" t="str">
        <f>A9</f>
        <v>OLIMP MIŃSK MAZ. 11</v>
      </c>
      <c r="B41" s="26" t="str">
        <f>A5</f>
        <v>LEN ŻYRARDÓW 4</v>
      </c>
      <c r="C41" s="43">
        <v>9</v>
      </c>
      <c r="D41" s="43" t="s">
        <v>29</v>
      </c>
      <c r="E41" s="43">
        <v>11</v>
      </c>
    </row>
    <row r="42" spans="1:5">
      <c r="A42" s="26" t="str">
        <f>A10</f>
        <v>GLKS NADARZYN 11</v>
      </c>
      <c r="B42" s="26" t="str">
        <f>A4</f>
        <v>SPARTA WARSZAWA 3</v>
      </c>
      <c r="C42" s="43">
        <v>0</v>
      </c>
      <c r="D42" s="43" t="s">
        <v>29</v>
      </c>
      <c r="E42" s="43">
        <v>11</v>
      </c>
    </row>
    <row r="43" spans="1:5">
      <c r="A43" s="26" t="str">
        <f>A11</f>
        <v>ORLĘTA RASZYN 7</v>
      </c>
      <c r="B43" s="26" t="str">
        <f>A12</f>
        <v>LEN ŻYRARDÓW 12</v>
      </c>
      <c r="C43" s="43">
        <v>0</v>
      </c>
      <c r="D43" s="43" t="s">
        <v>29</v>
      </c>
      <c r="E43" s="43">
        <v>0</v>
      </c>
    </row>
    <row r="44" spans="1:5">
      <c r="A44" s="26" t="str">
        <f>A4</f>
        <v>SPARTA WARSZAWA 3</v>
      </c>
      <c r="B44" s="26" t="str">
        <f>A11</f>
        <v>ORLĘTA RASZYN 7</v>
      </c>
      <c r="C44" s="43">
        <v>11</v>
      </c>
      <c r="D44" s="43" t="s">
        <v>29</v>
      </c>
      <c r="E44" s="43">
        <v>0</v>
      </c>
    </row>
    <row r="45" spans="1:5">
      <c r="A45" s="26" t="str">
        <f>A5</f>
        <v>LEN ŻYRARDÓW 4</v>
      </c>
      <c r="B45" s="26" t="str">
        <f>A10</f>
        <v>GLKS NADARZYN 11</v>
      </c>
      <c r="C45" s="43">
        <v>11</v>
      </c>
      <c r="D45" s="43" t="s">
        <v>29</v>
      </c>
      <c r="E45" s="43">
        <v>0</v>
      </c>
    </row>
    <row r="46" spans="1:5">
      <c r="A46" s="26" t="str">
        <f>A6</f>
        <v>ORLĘTA RASZYN 13</v>
      </c>
      <c r="B46" s="26" t="str">
        <f>A9</f>
        <v>OLIMP MIŃSK MAZ. 11</v>
      </c>
      <c r="C46" s="43">
        <v>11</v>
      </c>
      <c r="D46" s="43" t="s">
        <v>29</v>
      </c>
      <c r="E46" s="43">
        <v>9</v>
      </c>
    </row>
    <row r="47" spans="1:5">
      <c r="A47" s="26" t="str">
        <f>A7</f>
        <v>UKS LESZNOWOLA 14</v>
      </c>
      <c r="B47" s="26" t="str">
        <f>A8</f>
        <v>UKS LESZNOWOLA 11</v>
      </c>
      <c r="C47" s="43">
        <v>11</v>
      </c>
      <c r="D47" s="43" t="s">
        <v>29</v>
      </c>
      <c r="E47" s="43">
        <v>0</v>
      </c>
    </row>
    <row r="48" spans="1:5">
      <c r="A48" s="26" t="str">
        <f>A9</f>
        <v>OLIMP MIŃSK MAZ. 11</v>
      </c>
      <c r="B48" s="26" t="str">
        <f>A7</f>
        <v>UKS LESZNOWOLA 14</v>
      </c>
      <c r="C48" s="43">
        <v>8</v>
      </c>
      <c r="D48" s="43" t="s">
        <v>29</v>
      </c>
      <c r="E48" s="43">
        <v>11</v>
      </c>
    </row>
    <row r="49" spans="1:5">
      <c r="A49" s="26" t="str">
        <f>A10</f>
        <v>GLKS NADARZYN 11</v>
      </c>
      <c r="B49" s="26" t="str">
        <f>A6</f>
        <v>ORLĘTA RASZYN 13</v>
      </c>
      <c r="C49" s="43">
        <v>0</v>
      </c>
      <c r="D49" s="43" t="s">
        <v>29</v>
      </c>
      <c r="E49" s="43">
        <v>11</v>
      </c>
    </row>
    <row r="50" spans="1:5">
      <c r="A50" s="26" t="str">
        <f>A11</f>
        <v>ORLĘTA RASZYN 7</v>
      </c>
      <c r="B50" s="26" t="str">
        <f>A5</f>
        <v>LEN ŻYRARDÓW 4</v>
      </c>
      <c r="C50" s="43">
        <v>0</v>
      </c>
      <c r="D50" s="43" t="s">
        <v>29</v>
      </c>
      <c r="E50" s="43">
        <v>11</v>
      </c>
    </row>
    <row r="51" spans="1:5">
      <c r="A51" s="26" t="str">
        <f>A12</f>
        <v>LEN ŻYRARDÓW 12</v>
      </c>
      <c r="B51" s="26" t="str">
        <f>A4</f>
        <v>SPARTA WARSZAWA 3</v>
      </c>
      <c r="C51" s="43">
        <v>0</v>
      </c>
      <c r="D51" s="43" t="s">
        <v>29</v>
      </c>
      <c r="E51" s="43">
        <v>11</v>
      </c>
    </row>
  </sheetData>
  <autoFilter ref="A15:B5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8C7D-2655-4358-806D-C7F32A04160A}">
  <dimension ref="A1:AC51"/>
  <sheetViews>
    <sheetView workbookViewId="0">
      <selection activeCell="F47" sqref="F47"/>
    </sheetView>
  </sheetViews>
  <sheetFormatPr defaultColWidth="8.85546875" defaultRowHeight="15"/>
  <cols>
    <col min="1" max="2" width="24" style="31" bestFit="1" customWidth="1"/>
    <col min="3" max="5" width="3.85546875" style="31" customWidth="1"/>
    <col min="6" max="6" width="8.28515625" style="31" customWidth="1"/>
    <col min="7" max="7" width="8.28515625" style="32" customWidth="1"/>
    <col min="8" max="8" width="24" style="32" bestFit="1" customWidth="1"/>
    <col min="9" max="9" width="11.7109375" style="32" customWidth="1"/>
    <col min="10" max="16" width="11.7109375" style="31" customWidth="1"/>
    <col min="17" max="17" width="11.42578125" style="31" customWidth="1"/>
    <col min="18" max="18" width="8.85546875" style="31" hidden="1" customWidth="1"/>
    <col min="19" max="26" width="9.140625" style="31" hidden="1" customWidth="1"/>
    <col min="27" max="27" width="7" style="31" hidden="1" customWidth="1"/>
    <col min="28" max="28" width="9.140625" style="31" hidden="1" customWidth="1"/>
    <col min="29" max="29" width="8.85546875" style="31" hidden="1" customWidth="1"/>
    <col min="30" max="16384" width="8.85546875" style="31"/>
  </cols>
  <sheetData>
    <row r="1" spans="1:28" ht="28.5">
      <c r="A1" s="30" t="s">
        <v>89</v>
      </c>
      <c r="S1" s="31" t="s">
        <v>1</v>
      </c>
      <c r="T1" s="31" t="b">
        <f>ROWS(homescore)-COUNT(homescore)=0</f>
        <v>1</v>
      </c>
    </row>
    <row r="2" spans="1:28">
      <c r="H2" s="33" t="s">
        <v>3</v>
      </c>
      <c r="I2" s="34" t="s">
        <v>4</v>
      </c>
      <c r="J2" s="34" t="s">
        <v>5</v>
      </c>
      <c r="K2" s="34" t="s">
        <v>6</v>
      </c>
      <c r="L2" s="34" t="s">
        <v>7</v>
      </c>
      <c r="M2" s="34" t="s">
        <v>8</v>
      </c>
      <c r="N2" s="34" t="s">
        <v>9</v>
      </c>
      <c r="O2" s="35" t="s">
        <v>10</v>
      </c>
      <c r="P2" s="35" t="s">
        <v>11</v>
      </c>
      <c r="T2" s="36" t="s">
        <v>4</v>
      </c>
      <c r="U2" s="37" t="s">
        <v>12</v>
      </c>
      <c r="V2" s="37" t="s">
        <v>13</v>
      </c>
      <c r="W2" s="38" t="s">
        <v>14</v>
      </c>
      <c r="X2" s="33" t="s">
        <v>15</v>
      </c>
      <c r="Y2" s="37" t="s">
        <v>16</v>
      </c>
      <c r="Z2" s="39" t="s">
        <v>17</v>
      </c>
      <c r="AA2" s="38" t="s">
        <v>13</v>
      </c>
      <c r="AB2" s="38" t="s">
        <v>18</v>
      </c>
    </row>
    <row r="3" spans="1:28">
      <c r="A3" s="40" t="s">
        <v>3</v>
      </c>
      <c r="B3" s="41"/>
      <c r="H3" s="42" t="str">
        <f t="array" ref="H3">INDEX($S$3:$S$11,MATCH(LARGE($AB$3:$AB$11-ROW($AB$3:$AB$11)/COUNT($AB$3:$AB$11),ROW(H3)-ROW(H$3)+1),$AB$3:$AB$11-ROW($AB$3:$AB$11)/COUNT($AB$3:$AB$11),0))</f>
        <v>SPARTA GRODZISK MAZ. 4</v>
      </c>
      <c r="I3" s="43">
        <f t="shared" ref="I3:I11" si="0">VLOOKUP($H3,$S$3:$AA$11,2,0)</f>
        <v>8</v>
      </c>
      <c r="J3" s="43">
        <f t="shared" ref="J3:J11" si="1">VLOOKUP($H3,$S$3:$AA$11,3,0)</f>
        <v>7</v>
      </c>
      <c r="K3" s="43">
        <f t="shared" ref="K3:K11" si="2">VLOOKUP($H3,$S$3:$AA$11,4,0)</f>
        <v>1</v>
      </c>
      <c r="L3" s="43">
        <f t="shared" ref="L3:L11" si="3">VLOOKUP($H3,$S$3:$AA$11,5,0)</f>
        <v>86</v>
      </c>
      <c r="M3" s="43">
        <f t="shared" ref="M3:M11" si="4">VLOOKUP($H3,$S$3:$AA$11,6,0)</f>
        <v>39</v>
      </c>
      <c r="N3" s="43">
        <f t="shared" ref="N3:N11" si="5">VLOOKUP($H3,$S$3:$AA$11,7,0)</f>
        <v>47</v>
      </c>
      <c r="O3" s="44">
        <f>IF(Tabela18[[#This Row],[STRACONE]]=0,0,Tabela18[[#This Row],[ZDOBYTE]]/Tabela18[[#This Row],[STRACONE]])</f>
        <v>2.2051282051282053</v>
      </c>
      <c r="P3" s="45">
        <f t="shared" ref="P3:P11" si="6">VLOOKUP($H3,$S$3:$AB$11,9,0)</f>
        <v>14</v>
      </c>
      <c r="S3" s="46" t="str">
        <f t="shared" ref="S3:S11" si="7">A4</f>
        <v>UKS LESZNOWOLA 25</v>
      </c>
      <c r="T3" s="47">
        <f t="array" ref="T3">SUM((home=S3)*(ISNUMBER(homescore)),(visitor=S3)*(ISNUMBER(visitorscore)))</f>
        <v>8</v>
      </c>
      <c r="U3" s="32">
        <f t="array" ref="U3">SUM((home=S3)*(homescore&gt;visitorscore),(visitor=S3)*(visitorscore&gt;homescore))</f>
        <v>3</v>
      </c>
      <c r="V3" s="32">
        <f t="array" ref="V3">SUM((home=S3)*(homescore&lt;visitorscore),(visitor=S3)*(visitorscore&lt;homescore))</f>
        <v>5</v>
      </c>
      <c r="W3" s="48">
        <f t="shared" ref="W3" si="8">SUMIF(home,S3,homescore)+SUMIF(visitor,S3,visitorscore)</f>
        <v>65</v>
      </c>
      <c r="X3" s="49">
        <f t="shared" ref="X3" si="9">SUMIF(home,S3,visitorscore)+SUMIF(visitor,S3,homescore)</f>
        <v>67</v>
      </c>
      <c r="Y3" s="32">
        <f>W3-X3</f>
        <v>-2</v>
      </c>
      <c r="Z3" s="50">
        <f>IF(X3&gt;0,W3/X3,0)</f>
        <v>0.97014925373134331</v>
      </c>
      <c r="AA3" s="48">
        <f>2*U3</f>
        <v>6</v>
      </c>
      <c r="AB3" s="51">
        <f>W3+Z3*1000+Y3*10000+AA3*100000000</f>
        <v>599981035.14925373</v>
      </c>
    </row>
    <row r="4" spans="1:28">
      <c r="A4" s="78" t="s">
        <v>90</v>
      </c>
      <c r="H4" s="42" t="str">
        <f t="array" ref="H4">INDEX($S$3:$S$11,MATCH(LARGE($AB$3:$AB$11-ROW($AB$3:$AB$11)/COUNT($AB$3:$AB$11),ROW(H4)-ROW(H$3)+1),$AB$3:$AB$11-ROW($AB$3:$AB$11)/COUNT($AB$3:$AB$11),0))</f>
        <v>UKS LESZNOWOLA 5</v>
      </c>
      <c r="I4" s="43">
        <f t="shared" si="0"/>
        <v>8</v>
      </c>
      <c r="J4" s="43">
        <f t="shared" si="1"/>
        <v>6</v>
      </c>
      <c r="K4" s="43">
        <f t="shared" si="2"/>
        <v>2</v>
      </c>
      <c r="L4" s="43">
        <f t="shared" si="3"/>
        <v>82</v>
      </c>
      <c r="M4" s="43">
        <f t="shared" si="4"/>
        <v>47</v>
      </c>
      <c r="N4" s="43">
        <f t="shared" si="5"/>
        <v>35</v>
      </c>
      <c r="O4" s="44">
        <f>IF(Tabela18[[#This Row],[STRACONE]]=0,0,Tabela18[[#This Row],[ZDOBYTE]]/Tabela18[[#This Row],[STRACONE]])</f>
        <v>1.7446808510638299</v>
      </c>
      <c r="P4" s="45">
        <f t="shared" si="6"/>
        <v>12</v>
      </c>
      <c r="S4" s="53" t="str">
        <f t="shared" si="7"/>
        <v>OLIMP MIŃSK MAZ. 8</v>
      </c>
      <c r="T4" s="47">
        <f t="array" ref="T4">SUM((home=S4)*(ISNUMBER(homescore)),(visitor=S4)*(ISNUMBER(visitorscore)))</f>
        <v>8</v>
      </c>
      <c r="U4" s="32">
        <f t="array" ref="U4">SUM((home=S4)*(homescore&gt;visitorscore),(visitor=S4)*(visitorscore&gt;homescore))</f>
        <v>4</v>
      </c>
      <c r="V4" s="32">
        <f t="array" ref="V4">SUM((home=S4)*(homescore&lt;visitorscore),(visitor=S4)*(visitorscore&lt;homescore))</f>
        <v>4</v>
      </c>
      <c r="W4" s="48">
        <f t="shared" ref="W4" si="10">SUMIF(home,S4,homescore)+SUMIF(visitor,S4,visitorscore)</f>
        <v>70</v>
      </c>
      <c r="X4" s="49">
        <f t="shared" ref="X4" si="11">SUMIF(home,S4,visitorscore)+SUMIF(visitor,S4,homescore)</f>
        <v>59</v>
      </c>
      <c r="Y4" s="32">
        <f t="shared" ref="Y4:Y11" si="12">W4-X4</f>
        <v>11</v>
      </c>
      <c r="Z4" s="50">
        <f t="shared" ref="Z4:Z11" si="13">IF(X4&gt;0,W4/X4,0)</f>
        <v>1.1864406779661016</v>
      </c>
      <c r="AA4" s="48">
        <f t="shared" ref="AA4:AA11" si="14">2*U4</f>
        <v>8</v>
      </c>
      <c r="AB4" s="51">
        <f t="shared" ref="AB4:AB11" si="15">W4+Z4*1000+Y4*10000+AA4*100000000</f>
        <v>800111256.440678</v>
      </c>
    </row>
    <row r="5" spans="1:28">
      <c r="A5" s="78" t="s">
        <v>91</v>
      </c>
      <c r="H5" s="42" t="str">
        <f t="array" ref="H5">INDEX($S$3:$S$11,MATCH(LARGE($AB$3:$AB$11-ROW($AB$3:$AB$11)/COUNT($AB$3:$AB$11),ROW(H5)-ROW(H$3)+1),$AB$3:$AB$11-ROW($AB$3:$AB$11)/COUNT($AB$3:$AB$11),0))</f>
        <v>LEN ŻYRARDÓW 15</v>
      </c>
      <c r="I5" s="43">
        <f t="shared" si="0"/>
        <v>8</v>
      </c>
      <c r="J5" s="43">
        <f t="shared" si="1"/>
        <v>5</v>
      </c>
      <c r="K5" s="43">
        <f t="shared" si="2"/>
        <v>3</v>
      </c>
      <c r="L5" s="43">
        <f t="shared" si="3"/>
        <v>81</v>
      </c>
      <c r="M5" s="43">
        <f t="shared" si="4"/>
        <v>63</v>
      </c>
      <c r="N5" s="43">
        <f t="shared" si="5"/>
        <v>18</v>
      </c>
      <c r="O5" s="44">
        <f>IF(Tabela18[[#This Row],[STRACONE]]=0,0,Tabela18[[#This Row],[ZDOBYTE]]/Tabela18[[#This Row],[STRACONE]])</f>
        <v>1.2857142857142858</v>
      </c>
      <c r="P5" s="45">
        <f t="shared" si="6"/>
        <v>10</v>
      </c>
      <c r="S5" s="53" t="str">
        <f t="shared" si="7"/>
        <v>LEN ŻYRARDÓW 15</v>
      </c>
      <c r="T5" s="47">
        <f t="array" ref="T5">SUM((home=S5)*(ISNUMBER(homescore)),(visitor=S5)*(ISNUMBER(visitorscore)))</f>
        <v>8</v>
      </c>
      <c r="U5" s="32">
        <f t="array" ref="U5">SUM((home=S5)*(homescore&gt;visitorscore),(visitor=S5)*(visitorscore&gt;homescore))</f>
        <v>5</v>
      </c>
      <c r="V5" s="32">
        <f t="array" ref="V5">SUM((home=S5)*(homescore&lt;visitorscore),(visitor=S5)*(visitorscore&lt;homescore))</f>
        <v>3</v>
      </c>
      <c r="W5" s="48">
        <f t="shared" ref="W5" si="16">SUMIF(home,S5,homescore)+SUMIF(visitor,S5,visitorscore)</f>
        <v>81</v>
      </c>
      <c r="X5" s="49">
        <f t="shared" ref="X5" si="17">SUMIF(home,S5,visitorscore)+SUMIF(visitor,S5,homescore)</f>
        <v>63</v>
      </c>
      <c r="Y5" s="32">
        <f t="shared" si="12"/>
        <v>18</v>
      </c>
      <c r="Z5" s="50">
        <f t="shared" si="13"/>
        <v>1.2857142857142858</v>
      </c>
      <c r="AA5" s="48">
        <f t="shared" si="14"/>
        <v>10</v>
      </c>
      <c r="AB5" s="51">
        <f t="shared" si="15"/>
        <v>1000181366.7142857</v>
      </c>
    </row>
    <row r="6" spans="1:28">
      <c r="A6" s="78" t="s">
        <v>92</v>
      </c>
      <c r="H6" s="42" t="str">
        <f t="array" ref="H6">INDEX($S$3:$S$11,MATCH(LARGE($AB$3:$AB$11-ROW($AB$3:$AB$11)/COUNT($AB$3:$AB$11),ROW(H6)-ROW(H$3)+1),$AB$3:$AB$11-ROW($AB$3:$AB$11)/COUNT($AB$3:$AB$11),0))</f>
        <v>UKS LESZNOWOLA 17</v>
      </c>
      <c r="I6" s="43">
        <f t="shared" si="0"/>
        <v>8</v>
      </c>
      <c r="J6" s="43">
        <f t="shared" si="1"/>
        <v>5</v>
      </c>
      <c r="K6" s="43">
        <f t="shared" si="2"/>
        <v>3</v>
      </c>
      <c r="L6" s="43">
        <f t="shared" si="3"/>
        <v>71</v>
      </c>
      <c r="M6" s="43">
        <f t="shared" si="4"/>
        <v>69</v>
      </c>
      <c r="N6" s="43">
        <f t="shared" si="5"/>
        <v>2</v>
      </c>
      <c r="O6" s="44">
        <f>IF(Tabela18[[#This Row],[STRACONE]]=0,0,Tabela18[[#This Row],[ZDOBYTE]]/Tabela18[[#This Row],[STRACONE]])</f>
        <v>1.0289855072463767</v>
      </c>
      <c r="P6" s="45">
        <f t="shared" si="6"/>
        <v>10</v>
      </c>
      <c r="S6" s="53" t="str">
        <f t="shared" si="7"/>
        <v>RAS SZYDŁOWIEC 2</v>
      </c>
      <c r="T6" s="47">
        <f t="array" ref="T6">SUM((home=S6)*(ISNUMBER(homescore)),(visitor=S6)*(ISNUMBER(visitorscore)))</f>
        <v>8</v>
      </c>
      <c r="U6" s="32">
        <f t="array" ref="U6">SUM((home=S6)*(homescore&gt;visitorscore),(visitor=S6)*(visitorscore&gt;homescore))</f>
        <v>4</v>
      </c>
      <c r="V6" s="32">
        <f t="array" ref="V6">SUM((home=S6)*(homescore&lt;visitorscore),(visitor=S6)*(visitorscore&lt;homescore))</f>
        <v>4</v>
      </c>
      <c r="W6" s="48">
        <f t="shared" ref="W6" si="18">SUMIF(home,S6,homescore)+SUMIF(visitor,S6,visitorscore)</f>
        <v>64</v>
      </c>
      <c r="X6" s="49">
        <f t="shared" ref="X6" si="19">SUMIF(home,S6,visitorscore)+SUMIF(visitor,S6,homescore)</f>
        <v>60</v>
      </c>
      <c r="Y6" s="32">
        <f t="shared" si="12"/>
        <v>4</v>
      </c>
      <c r="Z6" s="50">
        <f t="shared" si="13"/>
        <v>1.0666666666666667</v>
      </c>
      <c r="AA6" s="48">
        <f t="shared" si="14"/>
        <v>8</v>
      </c>
      <c r="AB6" s="51">
        <f t="shared" si="15"/>
        <v>800041130.66666663</v>
      </c>
    </row>
    <row r="7" spans="1:28">
      <c r="A7" s="78" t="s">
        <v>93</v>
      </c>
      <c r="H7" s="42" t="str">
        <f t="array" ref="H7">INDEX($S$3:$S$11,MATCH(LARGE($AB$3:$AB$11-ROW($AB$3:$AB$11)/COUNT($AB$3:$AB$11),ROW(H7)-ROW(H$3)+1),$AB$3:$AB$11-ROW($AB$3:$AB$11)/COUNT($AB$3:$AB$11),0))</f>
        <v>OLIMP MIŃSK MAZ. 8</v>
      </c>
      <c r="I7" s="43">
        <f t="shared" si="0"/>
        <v>8</v>
      </c>
      <c r="J7" s="43">
        <f t="shared" si="1"/>
        <v>4</v>
      </c>
      <c r="K7" s="43">
        <f t="shared" si="2"/>
        <v>4</v>
      </c>
      <c r="L7" s="43">
        <f t="shared" si="3"/>
        <v>70</v>
      </c>
      <c r="M7" s="43">
        <f t="shared" si="4"/>
        <v>59</v>
      </c>
      <c r="N7" s="43">
        <f t="shared" si="5"/>
        <v>11</v>
      </c>
      <c r="O7" s="44">
        <f>IF(Tabela18[[#This Row],[STRACONE]]=0,0,Tabela18[[#This Row],[ZDOBYTE]]/Tabela18[[#This Row],[STRACONE]])</f>
        <v>1.1864406779661016</v>
      </c>
      <c r="P7" s="45">
        <f t="shared" si="6"/>
        <v>8</v>
      </c>
      <c r="S7" s="53" t="str">
        <f t="shared" si="7"/>
        <v>SPARTA GRODZISK MAZ. 4</v>
      </c>
      <c r="T7" s="47">
        <f t="array" ref="T7">SUM((home=S7)*(ISNUMBER(homescore)),(visitor=S7)*(ISNUMBER(visitorscore)))</f>
        <v>8</v>
      </c>
      <c r="U7" s="32">
        <f t="array" ref="U7">SUM((home=S7)*(homescore&gt;visitorscore),(visitor=S7)*(visitorscore&gt;homescore))</f>
        <v>7</v>
      </c>
      <c r="V7" s="32">
        <f t="array" ref="V7">SUM((home=S7)*(homescore&lt;visitorscore),(visitor=S7)*(visitorscore&lt;homescore))</f>
        <v>1</v>
      </c>
      <c r="W7" s="48">
        <f t="shared" ref="W7" si="20">SUMIF(home,S7,homescore)+SUMIF(visitor,S7,visitorscore)</f>
        <v>86</v>
      </c>
      <c r="X7" s="49">
        <f t="shared" ref="X7" si="21">SUMIF(home,S7,visitorscore)+SUMIF(visitor,S7,homescore)</f>
        <v>39</v>
      </c>
      <c r="Y7" s="32">
        <f t="shared" si="12"/>
        <v>47</v>
      </c>
      <c r="Z7" s="50">
        <f t="shared" si="13"/>
        <v>2.2051282051282053</v>
      </c>
      <c r="AA7" s="48">
        <f t="shared" si="14"/>
        <v>14</v>
      </c>
      <c r="AB7" s="51">
        <f t="shared" si="15"/>
        <v>1400472291.1282051</v>
      </c>
    </row>
    <row r="8" spans="1:28">
      <c r="A8" s="78" t="s">
        <v>94</v>
      </c>
      <c r="H8" s="42" t="str">
        <f t="array" ref="H8">INDEX($S$3:$S$11,MATCH(LARGE($AB$3:$AB$11-ROW($AB$3:$AB$11)/COUNT($AB$3:$AB$11),ROW(H8)-ROW(H$3)+1),$AB$3:$AB$11-ROW($AB$3:$AB$11)/COUNT($AB$3:$AB$11),0))</f>
        <v>RAS SZYDŁOWIEC 2</v>
      </c>
      <c r="I8" s="43">
        <f t="shared" si="0"/>
        <v>8</v>
      </c>
      <c r="J8" s="43">
        <f t="shared" si="1"/>
        <v>4</v>
      </c>
      <c r="K8" s="43">
        <f t="shared" si="2"/>
        <v>4</v>
      </c>
      <c r="L8" s="43">
        <f t="shared" si="3"/>
        <v>64</v>
      </c>
      <c r="M8" s="43">
        <f t="shared" si="4"/>
        <v>60</v>
      </c>
      <c r="N8" s="43">
        <f t="shared" si="5"/>
        <v>4</v>
      </c>
      <c r="O8" s="44">
        <f>IF(Tabela18[[#This Row],[STRACONE]]=0,0,Tabela18[[#This Row],[ZDOBYTE]]/Tabela18[[#This Row],[STRACONE]])</f>
        <v>1.0666666666666667</v>
      </c>
      <c r="P8" s="45">
        <f t="shared" si="6"/>
        <v>8</v>
      </c>
      <c r="S8" s="53" t="str">
        <f t="shared" si="7"/>
        <v>UKS LESZNOWOLA 5</v>
      </c>
      <c r="T8" s="47">
        <f t="array" ref="T8">SUM((home=S8)*(ISNUMBER(homescore)),(visitor=S8)*(ISNUMBER(visitorscore)))</f>
        <v>8</v>
      </c>
      <c r="U8" s="32">
        <f t="array" ref="U8">SUM((home=S8)*(homescore&gt;visitorscore),(visitor=S8)*(visitorscore&gt;homescore))</f>
        <v>6</v>
      </c>
      <c r="V8" s="32">
        <f t="array" ref="V8">SUM((home=S8)*(homescore&lt;visitorscore),(visitor=S8)*(visitorscore&lt;homescore))</f>
        <v>2</v>
      </c>
      <c r="W8" s="48">
        <f t="shared" ref="W8" si="22">SUMIF(home,S8,homescore)+SUMIF(visitor,S8,visitorscore)</f>
        <v>82</v>
      </c>
      <c r="X8" s="49">
        <f t="shared" ref="X8" si="23">SUMIF(home,S8,visitorscore)+SUMIF(visitor,S8,homescore)</f>
        <v>47</v>
      </c>
      <c r="Y8" s="32">
        <f t="shared" si="12"/>
        <v>35</v>
      </c>
      <c r="Z8" s="50">
        <f t="shared" si="13"/>
        <v>1.7446808510638299</v>
      </c>
      <c r="AA8" s="48">
        <f t="shared" si="14"/>
        <v>12</v>
      </c>
      <c r="AB8" s="51">
        <f t="shared" si="15"/>
        <v>1200351826.680851</v>
      </c>
    </row>
    <row r="9" spans="1:28">
      <c r="A9" s="78" t="s">
        <v>95</v>
      </c>
      <c r="H9" s="42" t="str">
        <f t="array" ref="H9">INDEX($S$3:$S$11,MATCH(LARGE($AB$3:$AB$11-ROW($AB$3:$AB$11)/COUNT($AB$3:$AB$11),ROW(H9)-ROW(H$3)+1),$AB$3:$AB$11-ROW($AB$3:$AB$11)/COUNT($AB$3:$AB$11),0))</f>
        <v>UKS LESZNOWOLA 25</v>
      </c>
      <c r="I9" s="43">
        <f t="shared" si="0"/>
        <v>8</v>
      </c>
      <c r="J9" s="43">
        <f t="shared" si="1"/>
        <v>3</v>
      </c>
      <c r="K9" s="43">
        <f t="shared" si="2"/>
        <v>5</v>
      </c>
      <c r="L9" s="43">
        <f t="shared" si="3"/>
        <v>65</v>
      </c>
      <c r="M9" s="43">
        <f t="shared" si="4"/>
        <v>67</v>
      </c>
      <c r="N9" s="43">
        <f t="shared" si="5"/>
        <v>-2</v>
      </c>
      <c r="O9" s="44">
        <f>IF(Tabela18[[#This Row],[STRACONE]]=0,0,Tabela18[[#This Row],[ZDOBYTE]]/Tabela18[[#This Row],[STRACONE]])</f>
        <v>0.97014925373134331</v>
      </c>
      <c r="P9" s="45">
        <f t="shared" si="6"/>
        <v>6</v>
      </c>
      <c r="S9" s="53" t="str">
        <f t="shared" si="7"/>
        <v>DĘBINA NIEPORĘT 3</v>
      </c>
      <c r="T9" s="47">
        <f t="array" ref="T9">SUM((home=S9)*(ISNUMBER(homescore)),(visitor=S9)*(ISNUMBER(visitorscore)))</f>
        <v>8</v>
      </c>
      <c r="U9" s="32">
        <f t="array" ref="U9">SUM((home=S9)*(homescore&gt;visitorscore),(visitor=S9)*(visitorscore&gt;homescore))</f>
        <v>0</v>
      </c>
      <c r="V9" s="32">
        <f t="array" ref="V9">SUM((home=S9)*(homescore&lt;visitorscore),(visitor=S9)*(visitorscore&lt;homescore))</f>
        <v>8</v>
      </c>
      <c r="W9" s="48">
        <f t="shared" ref="W9" si="24">SUMIF(home,S9,homescore)+SUMIF(visitor,S9,visitorscore)</f>
        <v>0</v>
      </c>
      <c r="X9" s="49">
        <f t="shared" ref="X9" si="25">SUMIF(home,S9,visitorscore)+SUMIF(visitor,S9,homescore)</f>
        <v>88</v>
      </c>
      <c r="Y9" s="32">
        <f t="shared" si="12"/>
        <v>-88</v>
      </c>
      <c r="Z9" s="50">
        <f t="shared" si="13"/>
        <v>0</v>
      </c>
      <c r="AA9" s="48">
        <f t="shared" si="14"/>
        <v>0</v>
      </c>
      <c r="AB9" s="51">
        <f t="shared" si="15"/>
        <v>-880000</v>
      </c>
    </row>
    <row r="10" spans="1:28">
      <c r="A10" s="78" t="s">
        <v>96</v>
      </c>
      <c r="H10" s="42" t="str">
        <f t="array" ref="H10">INDEX($S$3:$S$11,MATCH(LARGE($AB$3:$AB$11-ROW($AB$3:$AB$11)/COUNT($AB$3:$AB$11),ROW(H10)-ROW(H$3)+1),$AB$3:$AB$11-ROW($AB$3:$AB$11)/COUNT($AB$3:$AB$11),0))</f>
        <v>ORLĘTA RASZYN 10</v>
      </c>
      <c r="I10" s="43">
        <f t="shared" si="0"/>
        <v>8</v>
      </c>
      <c r="J10" s="43">
        <f t="shared" si="1"/>
        <v>2</v>
      </c>
      <c r="K10" s="43">
        <f t="shared" si="2"/>
        <v>6</v>
      </c>
      <c r="L10" s="43">
        <f t="shared" si="3"/>
        <v>45</v>
      </c>
      <c r="M10" s="43">
        <f t="shared" si="4"/>
        <v>72</v>
      </c>
      <c r="N10" s="43">
        <f t="shared" si="5"/>
        <v>-27</v>
      </c>
      <c r="O10" s="44">
        <f>IF(Tabela18[[#This Row],[STRACONE]]=0,0,Tabela18[[#This Row],[ZDOBYTE]]/Tabela18[[#This Row],[STRACONE]])</f>
        <v>0.625</v>
      </c>
      <c r="P10" s="45">
        <f t="shared" si="6"/>
        <v>4</v>
      </c>
      <c r="S10" s="53" t="str">
        <f t="shared" si="7"/>
        <v>UKS LESZNOWOLA 17</v>
      </c>
      <c r="T10" s="47">
        <f t="array" ref="T10">SUM((home=S10)*(ISNUMBER(homescore)),(visitor=S10)*(ISNUMBER(visitorscore)))</f>
        <v>8</v>
      </c>
      <c r="U10" s="32">
        <f t="array" ref="U10">SUM((home=S10)*(homescore&gt;visitorscore),(visitor=S10)*(visitorscore&gt;homescore))</f>
        <v>5</v>
      </c>
      <c r="V10" s="32">
        <f t="array" ref="V10">SUM((home=S10)*(homescore&lt;visitorscore),(visitor=S10)*(visitorscore&lt;homescore))</f>
        <v>3</v>
      </c>
      <c r="W10" s="48">
        <f t="shared" ref="W10" si="26">SUMIF(home,S10,homescore)+SUMIF(visitor,S10,visitorscore)</f>
        <v>71</v>
      </c>
      <c r="X10" s="49">
        <f t="shared" ref="X10" si="27">SUMIF(home,S10,visitorscore)+SUMIF(visitor,S10,homescore)</f>
        <v>69</v>
      </c>
      <c r="Y10" s="32">
        <f t="shared" si="12"/>
        <v>2</v>
      </c>
      <c r="Z10" s="50">
        <f t="shared" si="13"/>
        <v>1.0289855072463767</v>
      </c>
      <c r="AA10" s="48">
        <f t="shared" si="14"/>
        <v>10</v>
      </c>
      <c r="AB10" s="51">
        <f t="shared" si="15"/>
        <v>1000021099.9855072</v>
      </c>
    </row>
    <row r="11" spans="1:28">
      <c r="A11" s="78" t="s">
        <v>97</v>
      </c>
      <c r="H11" s="42" t="str">
        <f t="array" ref="H11">INDEX($S$3:$S$11,MATCH(LARGE($AB$3:$AB$11-ROW($AB$3:$AB$11)/COUNT($AB$3:$AB$11),ROW(H11)-ROW(H$3)+1),$AB$3:$AB$11-ROW($AB$3:$AB$11)/COUNT($AB$3:$AB$11),0))</f>
        <v>DĘBINA NIEPORĘT 3</v>
      </c>
      <c r="I11" s="43">
        <f t="shared" si="0"/>
        <v>8</v>
      </c>
      <c r="J11" s="43">
        <f t="shared" si="1"/>
        <v>0</v>
      </c>
      <c r="K11" s="43">
        <f t="shared" si="2"/>
        <v>8</v>
      </c>
      <c r="L11" s="43">
        <f t="shared" si="3"/>
        <v>0</v>
      </c>
      <c r="M11" s="43">
        <f t="shared" si="4"/>
        <v>88</v>
      </c>
      <c r="N11" s="43">
        <f t="shared" si="5"/>
        <v>-88</v>
      </c>
      <c r="O11" s="44">
        <f>IF(Tabela18[[#This Row],[STRACONE]]=0,0,Tabela18[[#This Row],[ZDOBYTE]]/Tabela18[[#This Row],[STRACONE]])</f>
        <v>0</v>
      </c>
      <c r="P11" s="45">
        <f t="shared" si="6"/>
        <v>0</v>
      </c>
      <c r="S11" s="53" t="str">
        <f t="shared" si="7"/>
        <v>ORLĘTA RASZYN 10</v>
      </c>
      <c r="T11" s="47">
        <f t="array" ref="T11">SUM((home=S11)*(ISNUMBER(homescore)),(visitor=S11)*(ISNUMBER(visitorscore)))</f>
        <v>8</v>
      </c>
      <c r="U11" s="32">
        <f t="array" ref="U11">SUM((home=S11)*(homescore&gt;visitorscore),(visitor=S11)*(visitorscore&gt;homescore))</f>
        <v>2</v>
      </c>
      <c r="V11" s="32">
        <f t="array" ref="V11">SUM((home=S11)*(homescore&lt;visitorscore),(visitor=S11)*(visitorscore&lt;homescore))</f>
        <v>6</v>
      </c>
      <c r="W11" s="48">
        <f t="shared" ref="W11" si="28">SUMIF(home,S11,homescore)+SUMIF(visitor,S11,visitorscore)</f>
        <v>45</v>
      </c>
      <c r="X11" s="49">
        <f t="shared" ref="X11" si="29">SUMIF(home,S11,visitorscore)+SUMIF(visitor,S11,homescore)</f>
        <v>72</v>
      </c>
      <c r="Y11" s="32">
        <f t="shared" si="12"/>
        <v>-27</v>
      </c>
      <c r="Z11" s="50">
        <f t="shared" si="13"/>
        <v>0.625</v>
      </c>
      <c r="AA11" s="48">
        <f t="shared" si="14"/>
        <v>4</v>
      </c>
      <c r="AB11" s="51">
        <f t="shared" si="15"/>
        <v>399730670</v>
      </c>
    </row>
    <row r="12" spans="1:28">
      <c r="A12" s="78" t="s">
        <v>98</v>
      </c>
    </row>
    <row r="15" spans="1:28">
      <c r="A15" s="40" t="s">
        <v>27</v>
      </c>
      <c r="B15" s="40" t="s">
        <v>68</v>
      </c>
      <c r="H15" s="54"/>
    </row>
    <row r="16" spans="1:28">
      <c r="A16" s="26" t="str">
        <f>A5</f>
        <v>OLIMP MIŃSK MAZ. 8</v>
      </c>
      <c r="B16" s="26" t="str">
        <f>A12</f>
        <v>ORLĘTA RASZYN 10</v>
      </c>
      <c r="C16" s="43">
        <v>11</v>
      </c>
      <c r="D16" s="43" t="s">
        <v>29</v>
      </c>
      <c r="E16" s="43">
        <v>3</v>
      </c>
      <c r="F16" s="32"/>
    </row>
    <row r="17" spans="1:29">
      <c r="A17" s="26" t="str">
        <f>A6</f>
        <v>LEN ŻYRARDÓW 15</v>
      </c>
      <c r="B17" s="26" t="str">
        <f>A11</f>
        <v>UKS LESZNOWOLA 17</v>
      </c>
      <c r="C17" s="43">
        <v>10</v>
      </c>
      <c r="D17" s="43" t="s">
        <v>29</v>
      </c>
      <c r="E17" s="43">
        <v>11</v>
      </c>
      <c r="F17" s="32"/>
    </row>
    <row r="18" spans="1:29">
      <c r="A18" s="26" t="str">
        <f>A7</f>
        <v>RAS SZYDŁOWIEC 2</v>
      </c>
      <c r="B18" s="26" t="str">
        <f>A10</f>
        <v>DĘBINA NIEPORĘT 3</v>
      </c>
      <c r="C18" s="43">
        <v>11</v>
      </c>
      <c r="D18" s="43" t="s">
        <v>29</v>
      </c>
      <c r="E18" s="43">
        <v>0</v>
      </c>
      <c r="F18" s="32"/>
    </row>
    <row r="19" spans="1:29">
      <c r="A19" s="26" t="str">
        <f>A8</f>
        <v>SPARTA GRODZISK MAZ. 4</v>
      </c>
      <c r="B19" s="26" t="str">
        <f>A9</f>
        <v>UKS LESZNOWOLA 5</v>
      </c>
      <c r="C19" s="43">
        <v>11</v>
      </c>
      <c r="D19" s="43" t="s">
        <v>29</v>
      </c>
      <c r="E19" s="43">
        <v>7</v>
      </c>
      <c r="F19" s="32"/>
    </row>
    <row r="20" spans="1:29">
      <c r="A20" s="26" t="str">
        <f>A10</f>
        <v>DĘBINA NIEPORĘT 3</v>
      </c>
      <c r="B20" s="26" t="str">
        <f>A8</f>
        <v>SPARTA GRODZISK MAZ. 4</v>
      </c>
      <c r="C20" s="43">
        <v>0</v>
      </c>
      <c r="D20" s="43" t="s">
        <v>29</v>
      </c>
      <c r="E20" s="43">
        <v>11</v>
      </c>
      <c r="F20" s="32" t="s">
        <v>30</v>
      </c>
    </row>
    <row r="21" spans="1:29" s="32" customFormat="1">
      <c r="A21" s="26" t="str">
        <f>A11</f>
        <v>UKS LESZNOWOLA 17</v>
      </c>
      <c r="B21" s="26" t="str">
        <f>A7</f>
        <v>RAS SZYDŁOWIEC 2</v>
      </c>
      <c r="C21" s="43">
        <v>11</v>
      </c>
      <c r="D21" s="43" t="s">
        <v>29</v>
      </c>
      <c r="E21" s="43">
        <v>7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s="32" customFormat="1">
      <c r="A22" s="26" t="str">
        <f>A12</f>
        <v>ORLĘTA RASZYN 10</v>
      </c>
      <c r="B22" s="26" t="str">
        <f>A6</f>
        <v>LEN ŻYRARDÓW 15</v>
      </c>
      <c r="C22" s="43">
        <v>8</v>
      </c>
      <c r="D22" s="43" t="s">
        <v>29</v>
      </c>
      <c r="E22" s="43">
        <v>11</v>
      </c>
      <c r="F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s="32" customFormat="1">
      <c r="A23" s="26" t="str">
        <f>A4</f>
        <v>UKS LESZNOWOLA 25</v>
      </c>
      <c r="B23" s="26" t="str">
        <f>A5</f>
        <v>OLIMP MIŃSK MAZ. 8</v>
      </c>
      <c r="C23" s="43">
        <v>11</v>
      </c>
      <c r="D23" s="43" t="s">
        <v>29</v>
      </c>
      <c r="E23" s="43">
        <v>10</v>
      </c>
      <c r="F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s="32" customFormat="1">
      <c r="A24" s="26" t="str">
        <f>A6</f>
        <v>LEN ŻYRARDÓW 15</v>
      </c>
      <c r="B24" s="26" t="str">
        <f>A4</f>
        <v>UKS LESZNOWOLA 25</v>
      </c>
      <c r="C24" s="43">
        <v>11</v>
      </c>
      <c r="D24" s="43" t="s">
        <v>29</v>
      </c>
      <c r="E24" s="43">
        <v>4</v>
      </c>
      <c r="F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s="32" customFormat="1">
      <c r="A25" s="26" t="str">
        <f>A7</f>
        <v>RAS SZYDŁOWIEC 2</v>
      </c>
      <c r="B25" s="26" t="str">
        <f>A12</f>
        <v>ORLĘTA RASZYN 10</v>
      </c>
      <c r="C25" s="43">
        <v>11</v>
      </c>
      <c r="D25" s="43" t="s">
        <v>29</v>
      </c>
      <c r="E25" s="43">
        <v>3</v>
      </c>
      <c r="F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>
      <c r="A26" s="26" t="str">
        <f>A8</f>
        <v>SPARTA GRODZISK MAZ. 4</v>
      </c>
      <c r="B26" s="26" t="str">
        <f>A11</f>
        <v>UKS LESZNOWOLA 17</v>
      </c>
      <c r="C26" s="43">
        <v>11</v>
      </c>
      <c r="D26" s="43" t="s">
        <v>29</v>
      </c>
      <c r="E26" s="43">
        <v>4</v>
      </c>
    </row>
    <row r="27" spans="1:29">
      <c r="A27" s="26" t="str">
        <f>A9</f>
        <v>UKS LESZNOWOLA 5</v>
      </c>
      <c r="B27" s="26" t="str">
        <f>A10</f>
        <v>DĘBINA NIEPORĘT 3</v>
      </c>
      <c r="C27" s="43">
        <v>11</v>
      </c>
      <c r="D27" s="43" t="s">
        <v>29</v>
      </c>
      <c r="E27" s="43">
        <v>0</v>
      </c>
    </row>
    <row r="28" spans="1:29">
      <c r="A28" s="26" t="str">
        <f>A12</f>
        <v>ORLĘTA RASZYN 10</v>
      </c>
      <c r="B28" s="26" t="str">
        <f>A8</f>
        <v>SPARTA GRODZISK MAZ. 4</v>
      </c>
      <c r="C28" s="43">
        <v>5</v>
      </c>
      <c r="D28" s="43" t="s">
        <v>29</v>
      </c>
      <c r="E28" s="43">
        <v>11</v>
      </c>
    </row>
    <row r="29" spans="1:29">
      <c r="A29" s="26" t="str">
        <f>A11</f>
        <v>UKS LESZNOWOLA 17</v>
      </c>
      <c r="B29" s="26" t="str">
        <f>A9</f>
        <v>UKS LESZNOWOLA 5</v>
      </c>
      <c r="C29" s="43">
        <v>6</v>
      </c>
      <c r="D29" s="43" t="s">
        <v>29</v>
      </c>
      <c r="E29" s="43">
        <v>11</v>
      </c>
    </row>
    <row r="30" spans="1:29">
      <c r="A30" s="26" t="str">
        <f>A4</f>
        <v>UKS LESZNOWOLA 25</v>
      </c>
      <c r="B30" s="26" t="str">
        <f>A7</f>
        <v>RAS SZYDŁOWIEC 2</v>
      </c>
      <c r="C30" s="43">
        <v>6</v>
      </c>
      <c r="D30" s="43" t="s">
        <v>29</v>
      </c>
      <c r="E30" s="43">
        <v>11</v>
      </c>
    </row>
    <row r="31" spans="1:29">
      <c r="A31" s="26" t="str">
        <f>A5</f>
        <v>OLIMP MIŃSK MAZ. 8</v>
      </c>
      <c r="B31" s="26" t="str">
        <f>A6</f>
        <v>LEN ŻYRARDÓW 15</v>
      </c>
      <c r="C31" s="43">
        <v>11</v>
      </c>
      <c r="D31" s="43" t="s">
        <v>29</v>
      </c>
      <c r="E31" s="43">
        <v>9</v>
      </c>
    </row>
    <row r="32" spans="1:29">
      <c r="A32" s="26" t="str">
        <f>A7</f>
        <v>RAS SZYDŁOWIEC 2</v>
      </c>
      <c r="B32" s="26" t="str">
        <f>A5</f>
        <v>OLIMP MIŃSK MAZ. 8</v>
      </c>
      <c r="C32" s="43">
        <v>3</v>
      </c>
      <c r="D32" s="43" t="s">
        <v>29</v>
      </c>
      <c r="E32" s="43">
        <v>11</v>
      </c>
    </row>
    <row r="33" spans="1:5">
      <c r="A33" s="26" t="str">
        <f>A8</f>
        <v>SPARTA GRODZISK MAZ. 4</v>
      </c>
      <c r="B33" s="26" t="str">
        <f>A4</f>
        <v>UKS LESZNOWOLA 25</v>
      </c>
      <c r="C33" s="43">
        <v>11</v>
      </c>
      <c r="D33" s="43" t="s">
        <v>29</v>
      </c>
      <c r="E33" s="43">
        <v>5</v>
      </c>
    </row>
    <row r="34" spans="1:5">
      <c r="A34" s="26" t="str">
        <f>A9</f>
        <v>UKS LESZNOWOLA 5</v>
      </c>
      <c r="B34" s="26" t="str">
        <f>A12</f>
        <v>ORLĘTA RASZYN 10</v>
      </c>
      <c r="C34" s="43">
        <v>11</v>
      </c>
      <c r="D34" s="43" t="s">
        <v>29</v>
      </c>
      <c r="E34" s="43">
        <v>2</v>
      </c>
    </row>
    <row r="35" spans="1:5">
      <c r="A35" s="26" t="str">
        <f>A10</f>
        <v>DĘBINA NIEPORĘT 3</v>
      </c>
      <c r="B35" s="26" t="str">
        <f>A11</f>
        <v>UKS LESZNOWOLA 17</v>
      </c>
      <c r="C35" s="43">
        <v>0</v>
      </c>
      <c r="D35" s="43" t="s">
        <v>29</v>
      </c>
      <c r="E35" s="43">
        <v>11</v>
      </c>
    </row>
    <row r="36" spans="1:5">
      <c r="A36" s="26" t="str">
        <f>A12</f>
        <v>ORLĘTA RASZYN 10</v>
      </c>
      <c r="B36" s="26" t="str">
        <f>A10</f>
        <v>DĘBINA NIEPORĘT 3</v>
      </c>
      <c r="C36" s="43">
        <v>11</v>
      </c>
      <c r="D36" s="43" t="s">
        <v>29</v>
      </c>
      <c r="E36" s="43">
        <v>0</v>
      </c>
    </row>
    <row r="37" spans="1:5">
      <c r="A37" s="26" t="str">
        <f>A4</f>
        <v>UKS LESZNOWOLA 25</v>
      </c>
      <c r="B37" s="26" t="str">
        <f>A9</f>
        <v>UKS LESZNOWOLA 5</v>
      </c>
      <c r="C37" s="43">
        <v>7</v>
      </c>
      <c r="D37" s="43" t="s">
        <v>29</v>
      </c>
      <c r="E37" s="43">
        <v>11</v>
      </c>
    </row>
    <row r="38" spans="1:5">
      <c r="A38" s="26" t="str">
        <f>A5</f>
        <v>OLIMP MIŃSK MAZ. 8</v>
      </c>
      <c r="B38" s="26" t="str">
        <f>A8</f>
        <v>SPARTA GRODZISK MAZ. 4</v>
      </c>
      <c r="C38" s="43">
        <v>2</v>
      </c>
      <c r="D38" s="43" t="s">
        <v>29</v>
      </c>
      <c r="E38" s="43">
        <v>11</v>
      </c>
    </row>
    <row r="39" spans="1:5">
      <c r="A39" s="26" t="str">
        <f>A6</f>
        <v>LEN ŻYRARDÓW 15</v>
      </c>
      <c r="B39" s="26" t="str">
        <f>A7</f>
        <v>RAS SZYDŁOWIEC 2</v>
      </c>
      <c r="C39" s="43">
        <v>7</v>
      </c>
      <c r="D39" s="43" t="s">
        <v>29</v>
      </c>
      <c r="E39" s="43">
        <v>11</v>
      </c>
    </row>
    <row r="40" spans="1:5">
      <c r="A40" s="26" t="str">
        <f>A8</f>
        <v>SPARTA GRODZISK MAZ. 4</v>
      </c>
      <c r="B40" s="26" t="str">
        <f>A6</f>
        <v>LEN ŻYRARDÓW 15</v>
      </c>
      <c r="C40" s="43">
        <v>9</v>
      </c>
      <c r="D40" s="43" t="s">
        <v>29</v>
      </c>
      <c r="E40" s="43">
        <v>11</v>
      </c>
    </row>
    <row r="41" spans="1:5">
      <c r="A41" s="26" t="str">
        <f>A9</f>
        <v>UKS LESZNOWOLA 5</v>
      </c>
      <c r="B41" s="26" t="str">
        <f>A5</f>
        <v>OLIMP MIŃSK MAZ. 8</v>
      </c>
      <c r="C41" s="43">
        <v>11</v>
      </c>
      <c r="D41" s="43" t="s">
        <v>29</v>
      </c>
      <c r="E41" s="43">
        <v>5</v>
      </c>
    </row>
    <row r="42" spans="1:5">
      <c r="A42" s="26" t="str">
        <f>A10</f>
        <v>DĘBINA NIEPORĘT 3</v>
      </c>
      <c r="B42" s="26" t="str">
        <f>A4</f>
        <v>UKS LESZNOWOLA 25</v>
      </c>
      <c r="C42" s="43">
        <v>0</v>
      </c>
      <c r="D42" s="43" t="s">
        <v>29</v>
      </c>
      <c r="E42" s="43">
        <v>11</v>
      </c>
    </row>
    <row r="43" spans="1:5">
      <c r="A43" s="26" t="str">
        <f>A11</f>
        <v>UKS LESZNOWOLA 17</v>
      </c>
      <c r="B43" s="26" t="str">
        <f>A12</f>
        <v>ORLĘTA RASZYN 10</v>
      </c>
      <c r="C43" s="43">
        <v>6</v>
      </c>
      <c r="D43" s="43" t="s">
        <v>29</v>
      </c>
      <c r="E43" s="43">
        <v>11</v>
      </c>
    </row>
    <row r="44" spans="1:5">
      <c r="A44" s="26" t="str">
        <f>A4</f>
        <v>UKS LESZNOWOLA 25</v>
      </c>
      <c r="B44" s="26" t="str">
        <f>A11</f>
        <v>UKS LESZNOWOLA 17</v>
      </c>
      <c r="C44" s="43">
        <v>10</v>
      </c>
      <c r="D44" s="43" t="s">
        <v>29</v>
      </c>
      <c r="E44" s="43">
        <v>11</v>
      </c>
    </row>
    <row r="45" spans="1:5">
      <c r="A45" s="26" t="str">
        <f>A5</f>
        <v>OLIMP MIŃSK MAZ. 8</v>
      </c>
      <c r="B45" s="26" t="str">
        <f>A10</f>
        <v>DĘBINA NIEPORĘT 3</v>
      </c>
      <c r="C45" s="43">
        <v>11</v>
      </c>
      <c r="D45" s="43" t="s">
        <v>29</v>
      </c>
      <c r="E45" s="43">
        <v>0</v>
      </c>
    </row>
    <row r="46" spans="1:5">
      <c r="A46" s="26" t="str">
        <f>A6</f>
        <v>LEN ŻYRARDÓW 15</v>
      </c>
      <c r="B46" s="26" t="str">
        <f>A9</f>
        <v>UKS LESZNOWOLA 5</v>
      </c>
      <c r="C46" s="43">
        <v>11</v>
      </c>
      <c r="D46" s="43" t="s">
        <v>29</v>
      </c>
      <c r="E46" s="43">
        <v>9</v>
      </c>
    </row>
    <row r="47" spans="1:5">
      <c r="A47" s="26" t="str">
        <f>A7</f>
        <v>RAS SZYDŁOWIEC 2</v>
      </c>
      <c r="B47" s="26" t="str">
        <f>A8</f>
        <v>SPARTA GRODZISK MAZ. 4</v>
      </c>
      <c r="C47" s="43">
        <v>5</v>
      </c>
      <c r="D47" s="43" t="s">
        <v>29</v>
      </c>
      <c r="E47" s="43">
        <v>11</v>
      </c>
    </row>
    <row r="48" spans="1:5">
      <c r="A48" s="26" t="str">
        <f>A9</f>
        <v>UKS LESZNOWOLA 5</v>
      </c>
      <c r="B48" s="26" t="str">
        <f>A7</f>
        <v>RAS SZYDŁOWIEC 2</v>
      </c>
      <c r="C48" s="43">
        <v>11</v>
      </c>
      <c r="D48" s="43" t="s">
        <v>29</v>
      </c>
      <c r="E48" s="43">
        <v>5</v>
      </c>
    </row>
    <row r="49" spans="1:5">
      <c r="A49" s="26" t="str">
        <f>A10</f>
        <v>DĘBINA NIEPORĘT 3</v>
      </c>
      <c r="B49" s="26" t="str">
        <f>A6</f>
        <v>LEN ŻYRARDÓW 15</v>
      </c>
      <c r="C49" s="43">
        <v>0</v>
      </c>
      <c r="D49" s="43" t="s">
        <v>29</v>
      </c>
      <c r="E49" s="43">
        <v>11</v>
      </c>
    </row>
    <row r="50" spans="1:5">
      <c r="A50" s="26" t="str">
        <f>A11</f>
        <v>UKS LESZNOWOLA 17</v>
      </c>
      <c r="B50" s="26" t="str">
        <f>A5</f>
        <v>OLIMP MIŃSK MAZ. 8</v>
      </c>
      <c r="C50" s="43">
        <v>11</v>
      </c>
      <c r="D50" s="43" t="s">
        <v>29</v>
      </c>
      <c r="E50" s="43">
        <v>9</v>
      </c>
    </row>
    <row r="51" spans="1:5">
      <c r="A51" s="26" t="str">
        <f>A12</f>
        <v>ORLĘTA RASZYN 10</v>
      </c>
      <c r="B51" s="26" t="str">
        <f>A4</f>
        <v>UKS LESZNOWOLA 25</v>
      </c>
      <c r="C51" s="43">
        <v>2</v>
      </c>
      <c r="D51" s="43" t="s">
        <v>29</v>
      </c>
      <c r="E51" s="43">
        <v>11</v>
      </c>
    </row>
  </sheetData>
  <autoFilter ref="A15:B5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8B16-1003-4540-BA6B-0F643867F7FD}">
  <dimension ref="A1:AC61"/>
  <sheetViews>
    <sheetView workbookViewId="0">
      <selection activeCell="F48" sqref="F48"/>
    </sheetView>
  </sheetViews>
  <sheetFormatPr defaultColWidth="8.85546875" defaultRowHeight="15"/>
  <cols>
    <col min="1" max="2" width="20.7109375" style="56" bestFit="1" customWidth="1"/>
    <col min="3" max="5" width="3.85546875" style="56" customWidth="1"/>
    <col min="6" max="6" width="8.28515625" style="56" customWidth="1"/>
    <col min="7" max="7" width="8.28515625" style="57" customWidth="1"/>
    <col min="8" max="8" width="21.28515625" style="57" bestFit="1" customWidth="1"/>
    <col min="9" max="9" width="11.7109375" style="57" customWidth="1"/>
    <col min="10" max="16" width="11.7109375" style="56" customWidth="1"/>
    <col min="17" max="17" width="11.42578125" style="56" customWidth="1"/>
    <col min="18" max="18" width="8.85546875" style="56" customWidth="1"/>
    <col min="19" max="19" width="12.7109375" style="56" customWidth="1"/>
    <col min="20" max="26" width="9.140625" style="56" customWidth="1"/>
    <col min="27" max="27" width="7" style="56" customWidth="1"/>
    <col min="28" max="28" width="9.140625" style="56" customWidth="1"/>
    <col min="29" max="29" width="8.85546875" style="56" customWidth="1"/>
    <col min="30" max="16384" width="8.85546875" style="56"/>
  </cols>
  <sheetData>
    <row r="1" spans="1:29" ht="28.5">
      <c r="A1" s="55" t="s">
        <v>99</v>
      </c>
      <c r="S1" s="56" t="s">
        <v>1</v>
      </c>
      <c r="T1" s="56" t="b">
        <f>ROWS(homescore)-COUNT(homescore)=0</f>
        <v>1</v>
      </c>
    </row>
    <row r="2" spans="1:29">
      <c r="H2" s="58" t="s">
        <v>3</v>
      </c>
      <c r="I2" s="59" t="s">
        <v>4</v>
      </c>
      <c r="J2" s="59" t="s">
        <v>5</v>
      </c>
      <c r="K2" s="59" t="s">
        <v>6</v>
      </c>
      <c r="L2" s="59" t="s">
        <v>7</v>
      </c>
      <c r="M2" s="59" t="s">
        <v>8</v>
      </c>
      <c r="N2" s="59" t="s">
        <v>9</v>
      </c>
      <c r="O2" s="60" t="s">
        <v>10</v>
      </c>
      <c r="P2" s="60" t="s">
        <v>11</v>
      </c>
      <c r="T2" s="61" t="s">
        <v>4</v>
      </c>
      <c r="U2" s="62" t="s">
        <v>12</v>
      </c>
      <c r="V2" s="62" t="s">
        <v>13</v>
      </c>
      <c r="W2" s="63" t="s">
        <v>14</v>
      </c>
      <c r="X2" s="58" t="s">
        <v>15</v>
      </c>
      <c r="Y2" s="62" t="s">
        <v>16</v>
      </c>
      <c r="Z2" s="64" t="s">
        <v>17</v>
      </c>
      <c r="AA2" s="63" t="s">
        <v>13</v>
      </c>
      <c r="AB2" s="63" t="s">
        <v>18</v>
      </c>
      <c r="AC2" s="56" t="s">
        <v>100</v>
      </c>
    </row>
    <row r="3" spans="1:29">
      <c r="A3" s="65" t="s">
        <v>3</v>
      </c>
      <c r="B3" s="66"/>
      <c r="H3" s="67" t="str">
        <f>_xlfn.XLOOKUP(1,$AC$3:$AC$12,$S$3:$S$12)</f>
        <v>OLIMP MIŃSK MAZ. 10</v>
      </c>
      <c r="I3" s="67">
        <f t="shared" ref="I3:I12" si="0">VLOOKUP($H3,$S$3:$AA$12,2,0)</f>
        <v>9</v>
      </c>
      <c r="J3" s="67">
        <f t="shared" ref="J3:J12" si="1">VLOOKUP($H3,$S$3:$AA$12,3,0)</f>
        <v>8</v>
      </c>
      <c r="K3" s="67">
        <f t="shared" ref="K3:K12" si="2">VLOOKUP($H3,$S$3:$AA$12,4,0)</f>
        <v>1</v>
      </c>
      <c r="L3" s="67">
        <f t="shared" ref="L3:L12" si="3">VLOOKUP($H3,$S$3:$AA$12,5,0)</f>
        <v>95</v>
      </c>
      <c r="M3" s="67">
        <f t="shared" ref="M3:M12" si="4">VLOOKUP($H3,$S$3:$AA$12,6,0)</f>
        <v>42</v>
      </c>
      <c r="N3" s="67">
        <f t="shared" ref="N3:N12" si="5">VLOOKUP($H3,$S$3:$AA$12,7,0)</f>
        <v>53</v>
      </c>
      <c r="O3" s="68">
        <f>IF(Tabela110[[#This Row],[STRACONE]]=0,0,Tabela110[[#This Row],[ZDOBYTE]]/Tabela110[[#This Row],[STRACONE]])</f>
        <v>2.2619047619047619</v>
      </c>
      <c r="P3" s="69">
        <f t="shared" ref="P3:P12" si="6">VLOOKUP($H3,$S$3:$AB$12,9,0)</f>
        <v>16</v>
      </c>
      <c r="S3" s="70" t="str">
        <f t="shared" ref="S3:S10" si="7">A4</f>
        <v>OLIMP MIŃSK MAZ. 10</v>
      </c>
      <c r="T3" s="71">
        <f t="array" ref="T3">SUM((home=S3)*(ISNUMBER(homescore)),(visitor=S3)*(ISNUMBER(visitorscore)))</f>
        <v>9</v>
      </c>
      <c r="U3" s="57">
        <f t="array" ref="U3">SUM((home=S3)*(homescore&gt;visitorscore),(visitor=S3)*(visitorscore&gt;homescore))</f>
        <v>8</v>
      </c>
      <c r="V3" s="57">
        <f t="array" ref="V3">SUM((home=S3)*(homescore&lt;visitorscore),(visitor=S3)*(visitorscore&lt;homescore))</f>
        <v>1</v>
      </c>
      <c r="W3" s="72">
        <f t="shared" ref="W3" si="8">SUMIF(home,S3,homescore)+SUMIF(visitor,S3,visitorscore)</f>
        <v>95</v>
      </c>
      <c r="X3" s="73">
        <f t="shared" ref="X3" si="9">SUMIF(home,S3,visitorscore)+SUMIF(visitor,S3,homescore)</f>
        <v>42</v>
      </c>
      <c r="Y3" s="57">
        <f>W3-X3</f>
        <v>53</v>
      </c>
      <c r="Z3" s="74">
        <f>IF(X3&gt;0,W3/X3,0)</f>
        <v>2.2619047619047619</v>
      </c>
      <c r="AA3" s="72">
        <f>2*U3</f>
        <v>16</v>
      </c>
      <c r="AB3" s="75">
        <f>W3+Z3*1000+Y3*10000+AA3*100000000</f>
        <v>1600532356.9047618</v>
      </c>
      <c r="AC3" s="56">
        <f>RANK(AB3,$AB$3:$AB$12)</f>
        <v>1</v>
      </c>
    </row>
    <row r="4" spans="1:29">
      <c r="A4" s="79" t="s">
        <v>101</v>
      </c>
      <c r="H4" s="67" t="str">
        <f>_xlfn.XLOOKUP(2,$AC$3:$AC$12,$S$3:$S$12)</f>
        <v>UKS LESZNOWOLA 12</v>
      </c>
      <c r="I4" s="67">
        <f t="shared" si="0"/>
        <v>9</v>
      </c>
      <c r="J4" s="67">
        <f t="shared" si="1"/>
        <v>7</v>
      </c>
      <c r="K4" s="67">
        <f t="shared" si="2"/>
        <v>2</v>
      </c>
      <c r="L4" s="67">
        <f t="shared" si="3"/>
        <v>92</v>
      </c>
      <c r="M4" s="67">
        <f t="shared" si="4"/>
        <v>52</v>
      </c>
      <c r="N4" s="67">
        <f t="shared" si="5"/>
        <v>40</v>
      </c>
      <c r="O4" s="68">
        <f>IF(Tabela110[[#This Row],[STRACONE]]=0,0,Tabela110[[#This Row],[ZDOBYTE]]/Tabela110[[#This Row],[STRACONE]])</f>
        <v>1.7692307692307692</v>
      </c>
      <c r="P4" s="69">
        <f t="shared" si="6"/>
        <v>14</v>
      </c>
      <c r="S4" s="76" t="str">
        <f t="shared" si="7"/>
        <v>LEGIA WARSZAWA 2</v>
      </c>
      <c r="T4" s="71">
        <f t="array" ref="T4">SUM((home=S4)*(ISNUMBER(homescore)),(visitor=S4)*(ISNUMBER(visitorscore)))</f>
        <v>9</v>
      </c>
      <c r="U4" s="57">
        <f t="array" ref="U4">SUM((home=S4)*(homescore&gt;visitorscore),(visitor=S4)*(visitorscore&gt;homescore))</f>
        <v>2</v>
      </c>
      <c r="V4" s="57">
        <f t="array" ref="V4">SUM((home=S4)*(homescore&lt;visitorscore),(visitor=S4)*(visitorscore&lt;homescore))</f>
        <v>7</v>
      </c>
      <c r="W4" s="72">
        <f t="shared" ref="W4" si="10">SUMIF(home,S4,homescore)+SUMIF(visitor,S4,visitorscore)</f>
        <v>60</v>
      </c>
      <c r="X4" s="73">
        <f t="shared" ref="X4" si="11">SUMIF(home,S4,visitorscore)+SUMIF(visitor,S4,homescore)</f>
        <v>77</v>
      </c>
      <c r="Y4" s="57">
        <f t="shared" ref="Y4:Y11" si="12">W4-X4</f>
        <v>-17</v>
      </c>
      <c r="Z4" s="74">
        <f t="shared" ref="Z4:Z11" si="13">IF(X4&gt;0,W4/X4,0)</f>
        <v>0.77922077922077926</v>
      </c>
      <c r="AA4" s="72">
        <f t="shared" ref="AA4:AA11" si="14">2*U4</f>
        <v>4</v>
      </c>
      <c r="AB4" s="75">
        <f t="shared" ref="AB4:AB11" si="15">W4+Z4*1000+Y4*10000+AA4*100000000</f>
        <v>399830839.22077924</v>
      </c>
      <c r="AC4" s="56">
        <f t="shared" ref="AC4:AC12" si="16">RANK(AB4,$AB$3:$AB$12)</f>
        <v>8</v>
      </c>
    </row>
    <row r="5" spans="1:29">
      <c r="A5" s="79" t="s">
        <v>102</v>
      </c>
      <c r="H5" s="67" t="str">
        <f>_xlfn.XLOOKUP(3,$AC$3:$AC$12,$S$3:$S$12)</f>
        <v>ORLĘTA RASZYN 6</v>
      </c>
      <c r="I5" s="67">
        <f t="shared" si="0"/>
        <v>9</v>
      </c>
      <c r="J5" s="67">
        <f t="shared" si="1"/>
        <v>7</v>
      </c>
      <c r="K5" s="67">
        <f t="shared" si="2"/>
        <v>2</v>
      </c>
      <c r="L5" s="67">
        <f t="shared" si="3"/>
        <v>88</v>
      </c>
      <c r="M5" s="67">
        <f t="shared" si="4"/>
        <v>53</v>
      </c>
      <c r="N5" s="67">
        <f t="shared" si="5"/>
        <v>35</v>
      </c>
      <c r="O5" s="68">
        <f>IF(Tabela110[[#This Row],[STRACONE]]=0,0,Tabela110[[#This Row],[ZDOBYTE]]/Tabela110[[#This Row],[STRACONE]])</f>
        <v>1.6603773584905661</v>
      </c>
      <c r="P5" s="69">
        <f t="shared" si="6"/>
        <v>14</v>
      </c>
      <c r="S5" s="76" t="str">
        <f t="shared" si="7"/>
        <v>UKS LESZNOWOLA 244</v>
      </c>
      <c r="T5" s="71">
        <f t="array" ref="T5">SUM((home=S5)*(ISNUMBER(homescore)),(visitor=S5)*(ISNUMBER(visitorscore)))</f>
        <v>9</v>
      </c>
      <c r="U5" s="57">
        <f t="array" ref="U5">SUM((home=S5)*(homescore&gt;visitorscore),(visitor=S5)*(visitorscore&gt;homescore))</f>
        <v>0</v>
      </c>
      <c r="V5" s="57">
        <f t="array" ref="V5">SUM((home=S5)*(homescore&lt;visitorscore),(visitor=S5)*(visitorscore&lt;homescore))</f>
        <v>8</v>
      </c>
      <c r="W5" s="72">
        <f t="shared" ref="W5" si="17">SUMIF(home,S5,homescore)+SUMIF(visitor,S5,visitorscore)</f>
        <v>0</v>
      </c>
      <c r="X5" s="73">
        <f t="shared" ref="X5" si="18">SUMIF(home,S5,visitorscore)+SUMIF(visitor,S5,homescore)</f>
        <v>88</v>
      </c>
      <c r="Y5" s="57">
        <f t="shared" si="12"/>
        <v>-88</v>
      </c>
      <c r="Z5" s="74">
        <f t="shared" si="13"/>
        <v>0</v>
      </c>
      <c r="AA5" s="72">
        <f t="shared" si="14"/>
        <v>0</v>
      </c>
      <c r="AB5" s="75">
        <f>W5+Z5*1000+Y5*10000+AA5*100000000+1</f>
        <v>-879999</v>
      </c>
      <c r="AC5" s="56">
        <f t="shared" si="16"/>
        <v>9</v>
      </c>
    </row>
    <row r="6" spans="1:29">
      <c r="A6" s="79" t="s">
        <v>103</v>
      </c>
      <c r="H6" s="67" t="str">
        <f>_xlfn.XLOOKUP(4,$AC$3:$AC$12,$S$3:$S$12)</f>
        <v>UKS LESZNOWOLA 24</v>
      </c>
      <c r="I6" s="67">
        <f t="shared" si="0"/>
        <v>9</v>
      </c>
      <c r="J6" s="67">
        <f t="shared" si="1"/>
        <v>6</v>
      </c>
      <c r="K6" s="67">
        <f t="shared" si="2"/>
        <v>3</v>
      </c>
      <c r="L6" s="67">
        <f t="shared" si="3"/>
        <v>88</v>
      </c>
      <c r="M6" s="67">
        <f t="shared" si="4"/>
        <v>56</v>
      </c>
      <c r="N6" s="67">
        <f t="shared" si="5"/>
        <v>32</v>
      </c>
      <c r="O6" s="68">
        <f>IF(Tabela110[[#This Row],[STRACONE]]=0,0,Tabela110[[#This Row],[ZDOBYTE]]/Tabela110[[#This Row],[STRACONE]])</f>
        <v>1.5714285714285714</v>
      </c>
      <c r="P6" s="69">
        <f t="shared" si="6"/>
        <v>12</v>
      </c>
      <c r="S6" s="76" t="str">
        <f t="shared" si="7"/>
        <v>ORLĘTA RASZYN 6</v>
      </c>
      <c r="T6" s="71">
        <f t="array" ref="T6">SUM((home=S6)*(ISNUMBER(homescore)),(visitor=S6)*(ISNUMBER(visitorscore)))</f>
        <v>9</v>
      </c>
      <c r="U6" s="57">
        <f t="array" ref="U6">SUM((home=S6)*(homescore&gt;visitorscore),(visitor=S6)*(visitorscore&gt;homescore))</f>
        <v>7</v>
      </c>
      <c r="V6" s="57">
        <f t="array" ref="V6">SUM((home=S6)*(homescore&lt;visitorscore),(visitor=S6)*(visitorscore&lt;homescore))</f>
        <v>2</v>
      </c>
      <c r="W6" s="72">
        <f t="shared" ref="W6" si="19">SUMIF(home,S6,homescore)+SUMIF(visitor,S6,visitorscore)</f>
        <v>88</v>
      </c>
      <c r="X6" s="73">
        <f t="shared" ref="X6" si="20">SUMIF(home,S6,visitorscore)+SUMIF(visitor,S6,homescore)</f>
        <v>53</v>
      </c>
      <c r="Y6" s="57">
        <f t="shared" si="12"/>
        <v>35</v>
      </c>
      <c r="Z6" s="74">
        <f t="shared" si="13"/>
        <v>1.6603773584905661</v>
      </c>
      <c r="AA6" s="72">
        <f t="shared" si="14"/>
        <v>14</v>
      </c>
      <c r="AB6" s="75">
        <f t="shared" si="15"/>
        <v>1400351748.3773584</v>
      </c>
      <c r="AC6" s="56">
        <f t="shared" si="16"/>
        <v>3</v>
      </c>
    </row>
    <row r="7" spans="1:29">
      <c r="A7" s="79" t="s">
        <v>104</v>
      </c>
      <c r="H7" s="67" t="str">
        <f>_xlfn.XLOOKUP(5,$AC$3:$AC$12,$S$3:$S$12)</f>
        <v>OLIMP MIŃSK MAZ. 17</v>
      </c>
      <c r="I7" s="67">
        <f t="shared" si="0"/>
        <v>9</v>
      </c>
      <c r="J7" s="67">
        <f t="shared" si="1"/>
        <v>6</v>
      </c>
      <c r="K7" s="67">
        <f t="shared" si="2"/>
        <v>3</v>
      </c>
      <c r="L7" s="67">
        <f t="shared" si="3"/>
        <v>85</v>
      </c>
      <c r="M7" s="67">
        <f t="shared" si="4"/>
        <v>59</v>
      </c>
      <c r="N7" s="67">
        <f t="shared" si="5"/>
        <v>26</v>
      </c>
      <c r="O7" s="68">
        <f>IF(Tabela110[[#This Row],[STRACONE]]=0,0,Tabela110[[#This Row],[ZDOBYTE]]/Tabela110[[#This Row],[STRACONE]])</f>
        <v>1.4406779661016949</v>
      </c>
      <c r="P7" s="69">
        <f t="shared" si="6"/>
        <v>12</v>
      </c>
      <c r="S7" s="76" t="str">
        <f t="shared" si="7"/>
        <v>OLIMP MIŃSK MAZ. 17</v>
      </c>
      <c r="T7" s="71">
        <f t="array" ref="T7">SUM((home=S7)*(ISNUMBER(homescore)),(visitor=S7)*(ISNUMBER(visitorscore)))</f>
        <v>9</v>
      </c>
      <c r="U7" s="57">
        <f t="array" ref="U7">SUM((home=S7)*(homescore&gt;visitorscore),(visitor=S7)*(visitorscore&gt;homescore))</f>
        <v>6</v>
      </c>
      <c r="V7" s="57">
        <f t="array" ref="V7">SUM((home=S7)*(homescore&lt;visitorscore),(visitor=S7)*(visitorscore&lt;homescore))</f>
        <v>3</v>
      </c>
      <c r="W7" s="72">
        <f t="shared" ref="W7" si="21">SUMIF(home,S7,homescore)+SUMIF(visitor,S7,visitorscore)</f>
        <v>85</v>
      </c>
      <c r="X7" s="73">
        <f t="shared" ref="X7" si="22">SUMIF(home,S7,visitorscore)+SUMIF(visitor,S7,homescore)</f>
        <v>59</v>
      </c>
      <c r="Y7" s="57">
        <f t="shared" si="12"/>
        <v>26</v>
      </c>
      <c r="Z7" s="74">
        <f t="shared" si="13"/>
        <v>1.4406779661016949</v>
      </c>
      <c r="AA7" s="72">
        <f t="shared" si="14"/>
        <v>12</v>
      </c>
      <c r="AB7" s="75">
        <f t="shared" si="15"/>
        <v>1200261525.6779661</v>
      </c>
      <c r="AC7" s="56">
        <f t="shared" si="16"/>
        <v>5</v>
      </c>
    </row>
    <row r="8" spans="1:29">
      <c r="A8" s="79" t="s">
        <v>105</v>
      </c>
      <c r="H8" s="67" t="str">
        <f>_xlfn.XLOOKUP(6,$AC$3:$AC$12,$S$3:$S$12)</f>
        <v>GLKS NADARZYN 6</v>
      </c>
      <c r="I8" s="67">
        <f t="shared" si="0"/>
        <v>9</v>
      </c>
      <c r="J8" s="67">
        <f t="shared" si="1"/>
        <v>5</v>
      </c>
      <c r="K8" s="67">
        <f t="shared" si="2"/>
        <v>4</v>
      </c>
      <c r="L8" s="67">
        <f t="shared" si="3"/>
        <v>86</v>
      </c>
      <c r="M8" s="67">
        <f t="shared" si="4"/>
        <v>63</v>
      </c>
      <c r="N8" s="67">
        <f t="shared" si="5"/>
        <v>23</v>
      </c>
      <c r="O8" s="68">
        <f>IF(Tabela110[[#This Row],[STRACONE]]=0,0,Tabela110[[#This Row],[ZDOBYTE]]/Tabela110[[#This Row],[STRACONE]])</f>
        <v>1.3650793650793651</v>
      </c>
      <c r="P8" s="69">
        <f t="shared" si="6"/>
        <v>10</v>
      </c>
      <c r="S8" s="76" t="str">
        <f t="shared" si="7"/>
        <v>GLKS NADARZYN 6</v>
      </c>
      <c r="T8" s="71">
        <f t="array" ref="T8">SUM((home=S8)*(ISNUMBER(homescore)),(visitor=S8)*(ISNUMBER(visitorscore)))</f>
        <v>9</v>
      </c>
      <c r="U8" s="57">
        <f t="array" ref="U8">SUM((home=S8)*(homescore&gt;visitorscore),(visitor=S8)*(visitorscore&gt;homescore))</f>
        <v>5</v>
      </c>
      <c r="V8" s="57">
        <f t="array" ref="V8">SUM((home=S8)*(homescore&lt;visitorscore),(visitor=S8)*(visitorscore&lt;homescore))</f>
        <v>4</v>
      </c>
      <c r="W8" s="72">
        <f t="shared" ref="W8" si="23">SUMIF(home,S8,homescore)+SUMIF(visitor,S8,visitorscore)</f>
        <v>86</v>
      </c>
      <c r="X8" s="73">
        <f t="shared" ref="X8" si="24">SUMIF(home,S8,visitorscore)+SUMIF(visitor,S8,homescore)</f>
        <v>63</v>
      </c>
      <c r="Y8" s="57">
        <f t="shared" si="12"/>
        <v>23</v>
      </c>
      <c r="Z8" s="74">
        <f t="shared" si="13"/>
        <v>1.3650793650793651</v>
      </c>
      <c r="AA8" s="72">
        <f t="shared" si="14"/>
        <v>10</v>
      </c>
      <c r="AB8" s="75">
        <f t="shared" si="15"/>
        <v>1000231451.0793651</v>
      </c>
      <c r="AC8" s="56">
        <f t="shared" si="16"/>
        <v>6</v>
      </c>
    </row>
    <row r="9" spans="1:29">
      <c r="A9" s="79" t="s">
        <v>106</v>
      </c>
      <c r="H9" s="67" t="str">
        <f>_xlfn.XLOOKUP(7,$AC$3:$AC$12,$S$3:$S$12)</f>
        <v>OLIMP MIŃSK MAZ. 12</v>
      </c>
      <c r="I9" s="67">
        <f t="shared" si="0"/>
        <v>9</v>
      </c>
      <c r="J9" s="67">
        <f t="shared" si="1"/>
        <v>3</v>
      </c>
      <c r="K9" s="67">
        <f t="shared" si="2"/>
        <v>6</v>
      </c>
      <c r="L9" s="67">
        <f t="shared" si="3"/>
        <v>54</v>
      </c>
      <c r="M9" s="67">
        <f t="shared" si="4"/>
        <v>70</v>
      </c>
      <c r="N9" s="67">
        <f t="shared" si="5"/>
        <v>-16</v>
      </c>
      <c r="O9" s="68">
        <f>IF(Tabela110[[#This Row],[STRACONE]]=0,0,Tabela110[[#This Row],[ZDOBYTE]]/Tabela110[[#This Row],[STRACONE]])</f>
        <v>0.77142857142857146</v>
      </c>
      <c r="P9" s="69">
        <f t="shared" si="6"/>
        <v>6</v>
      </c>
      <c r="S9" s="76" t="str">
        <f t="shared" si="7"/>
        <v>UKS LESZNOWOLA 24</v>
      </c>
      <c r="T9" s="71">
        <f t="array" ref="T9">SUM((home=S9)*(ISNUMBER(homescore)),(visitor=S9)*(ISNUMBER(visitorscore)))</f>
        <v>9</v>
      </c>
      <c r="U9" s="57">
        <f t="array" ref="U9">SUM((home=S9)*(homescore&gt;visitorscore),(visitor=S9)*(visitorscore&gt;homescore))</f>
        <v>6</v>
      </c>
      <c r="V9" s="57">
        <f t="array" ref="V9">SUM((home=S9)*(homescore&lt;visitorscore),(visitor=S9)*(visitorscore&lt;homescore))</f>
        <v>3</v>
      </c>
      <c r="W9" s="72">
        <f t="shared" ref="W9" si="25">SUMIF(home,S9,homescore)+SUMIF(visitor,S9,visitorscore)</f>
        <v>88</v>
      </c>
      <c r="X9" s="73">
        <f t="shared" ref="X9" si="26">SUMIF(home,S9,visitorscore)+SUMIF(visitor,S9,homescore)</f>
        <v>56</v>
      </c>
      <c r="Y9" s="57">
        <f t="shared" si="12"/>
        <v>32</v>
      </c>
      <c r="Z9" s="74">
        <f t="shared" si="13"/>
        <v>1.5714285714285714</v>
      </c>
      <c r="AA9" s="72">
        <f t="shared" si="14"/>
        <v>12</v>
      </c>
      <c r="AB9" s="75">
        <f t="shared" si="15"/>
        <v>1200321659.4285715</v>
      </c>
      <c r="AC9" s="56">
        <f t="shared" si="16"/>
        <v>4</v>
      </c>
    </row>
    <row r="10" spans="1:29">
      <c r="A10" s="79" t="s">
        <v>107</v>
      </c>
      <c r="H10" s="67" t="str">
        <f>_xlfn.XLOOKUP(8,$AC$3:$AC$12,$S$3:$S$12)</f>
        <v>LEGIA WARSZAWA 2</v>
      </c>
      <c r="I10" s="67">
        <f t="shared" si="0"/>
        <v>9</v>
      </c>
      <c r="J10" s="67">
        <f t="shared" si="1"/>
        <v>2</v>
      </c>
      <c r="K10" s="67">
        <f t="shared" si="2"/>
        <v>7</v>
      </c>
      <c r="L10" s="67">
        <f t="shared" si="3"/>
        <v>60</v>
      </c>
      <c r="M10" s="67">
        <f t="shared" si="4"/>
        <v>77</v>
      </c>
      <c r="N10" s="67">
        <f t="shared" si="5"/>
        <v>-17</v>
      </c>
      <c r="O10" s="68">
        <f>IF(Tabela110[[#This Row],[STRACONE]]=0,0,Tabela110[[#This Row],[ZDOBYTE]]/Tabela110[[#This Row],[STRACONE]])</f>
        <v>0.77922077922077926</v>
      </c>
      <c r="P10" s="69">
        <f t="shared" si="6"/>
        <v>4</v>
      </c>
      <c r="S10" s="76" t="str">
        <f t="shared" si="7"/>
        <v>OLIMP MIŃSK MAZ. 12</v>
      </c>
      <c r="T10" s="71">
        <f t="array" ref="T10">SUM((home=S10)*(ISNUMBER(homescore)),(visitor=S10)*(ISNUMBER(visitorscore)))</f>
        <v>9</v>
      </c>
      <c r="U10" s="57">
        <f t="array" ref="U10">SUM((home=S10)*(homescore&gt;visitorscore),(visitor=S10)*(visitorscore&gt;homescore))</f>
        <v>3</v>
      </c>
      <c r="V10" s="57">
        <f t="array" ref="V10">SUM((home=S10)*(homescore&lt;visitorscore),(visitor=S10)*(visitorscore&lt;homescore))</f>
        <v>6</v>
      </c>
      <c r="W10" s="72">
        <f t="shared" ref="W10" si="27">SUMIF(home,S10,homescore)+SUMIF(visitor,S10,visitorscore)</f>
        <v>54</v>
      </c>
      <c r="X10" s="73">
        <f t="shared" ref="X10" si="28">SUMIF(home,S10,visitorscore)+SUMIF(visitor,S10,homescore)</f>
        <v>70</v>
      </c>
      <c r="Y10" s="57">
        <f t="shared" si="12"/>
        <v>-16</v>
      </c>
      <c r="Z10" s="74">
        <f t="shared" si="13"/>
        <v>0.77142857142857146</v>
      </c>
      <c r="AA10" s="72">
        <f t="shared" si="14"/>
        <v>6</v>
      </c>
      <c r="AB10" s="75">
        <f t="shared" si="15"/>
        <v>599840825.42857146</v>
      </c>
      <c r="AC10" s="56">
        <f t="shared" si="16"/>
        <v>7</v>
      </c>
    </row>
    <row r="11" spans="1:29">
      <c r="A11" s="79" t="s">
        <v>108</v>
      </c>
      <c r="H11" s="67" t="str">
        <f>_xlfn.XLOOKUP(9,$AC$3:$AC$12,$S$3:$S$12)</f>
        <v>UKS LESZNOWOLA 244</v>
      </c>
      <c r="I11" s="67">
        <f t="shared" si="0"/>
        <v>9</v>
      </c>
      <c r="J11" s="67">
        <f t="shared" si="1"/>
        <v>0</v>
      </c>
      <c r="K11" s="67">
        <f t="shared" si="2"/>
        <v>8</v>
      </c>
      <c r="L11" s="67">
        <f t="shared" si="3"/>
        <v>0</v>
      </c>
      <c r="M11" s="67">
        <f t="shared" si="4"/>
        <v>88</v>
      </c>
      <c r="N11" s="67">
        <f t="shared" si="5"/>
        <v>-88</v>
      </c>
      <c r="O11" s="68">
        <f>IF(Tabela110[[#This Row],[STRACONE]]=0,0,Tabela110[[#This Row],[ZDOBYTE]]/Tabela110[[#This Row],[STRACONE]])</f>
        <v>0</v>
      </c>
      <c r="P11" s="69">
        <f t="shared" si="6"/>
        <v>0</v>
      </c>
      <c r="S11" s="76" t="str">
        <f>A12</f>
        <v>UKS LESZNOWOLA 12</v>
      </c>
      <c r="T11" s="71">
        <f t="array" ref="T11">SUM((home=S11)*(ISNUMBER(homescore)),(visitor=S11)*(ISNUMBER(visitorscore)))</f>
        <v>9</v>
      </c>
      <c r="U11" s="57">
        <f t="array" ref="U11">SUM((home=S11)*(homescore&gt;visitorscore),(visitor=S11)*(visitorscore&gt;homescore))</f>
        <v>7</v>
      </c>
      <c r="V11" s="57">
        <f t="array" ref="V11">SUM((home=S11)*(homescore&lt;visitorscore),(visitor=S11)*(visitorscore&lt;homescore))</f>
        <v>2</v>
      </c>
      <c r="W11" s="72">
        <f t="shared" ref="W11" si="29">SUMIF(home,S11,homescore)+SUMIF(visitor,S11,visitorscore)</f>
        <v>92</v>
      </c>
      <c r="X11" s="73">
        <f t="shared" ref="X11" si="30">SUMIF(home,S11,visitorscore)+SUMIF(visitor,S11,homescore)</f>
        <v>52</v>
      </c>
      <c r="Y11" s="57">
        <f t="shared" si="12"/>
        <v>40</v>
      </c>
      <c r="Z11" s="74">
        <f t="shared" si="13"/>
        <v>1.7692307692307692</v>
      </c>
      <c r="AA11" s="72">
        <f t="shared" si="14"/>
        <v>14</v>
      </c>
      <c r="AB11" s="75">
        <f t="shared" si="15"/>
        <v>1400401861.2307692</v>
      </c>
      <c r="AC11" s="56">
        <f t="shared" si="16"/>
        <v>2</v>
      </c>
    </row>
    <row r="12" spans="1:29">
      <c r="A12" s="79" t="s">
        <v>109</v>
      </c>
      <c r="H12" s="67" t="str">
        <f>_xlfn.XLOOKUP(10,$AC$3:$AC$12,$S$3:$S$12)</f>
        <v>OLIMP MIŃSK MAZ. 7</v>
      </c>
      <c r="I12" s="67">
        <f t="shared" si="0"/>
        <v>9</v>
      </c>
      <c r="J12" s="67">
        <f t="shared" si="1"/>
        <v>0</v>
      </c>
      <c r="K12" s="67">
        <f t="shared" si="2"/>
        <v>8</v>
      </c>
      <c r="L12" s="67">
        <f t="shared" si="3"/>
        <v>0</v>
      </c>
      <c r="M12" s="67">
        <f t="shared" si="4"/>
        <v>88</v>
      </c>
      <c r="N12" s="67">
        <f t="shared" si="5"/>
        <v>-88</v>
      </c>
      <c r="O12" s="68">
        <f>IF(Tabela110[[#This Row],[STRACONE]]=0,0,Tabela110[[#This Row],[ZDOBYTE]]/Tabela110[[#This Row],[STRACONE]])</f>
        <v>0</v>
      </c>
      <c r="P12" s="69">
        <f t="shared" si="6"/>
        <v>0</v>
      </c>
      <c r="S12" s="77" t="str">
        <f t="shared" ref="S12" si="31">A13</f>
        <v>OLIMP MIŃSK MAZ. 7</v>
      </c>
      <c r="T12" s="71">
        <f t="array" ref="T12">SUM((home=S12)*(ISNUMBER(homescore)),(visitor=S12)*(ISNUMBER(visitorscore)))</f>
        <v>9</v>
      </c>
      <c r="U12" s="57">
        <f t="array" ref="U12">SUM((home=S12)*(homescore&gt;visitorscore),(visitor=S12)*(visitorscore&gt;homescore))</f>
        <v>0</v>
      </c>
      <c r="V12" s="57">
        <f t="array" ref="V12">SUM((home=S12)*(homescore&lt;visitorscore),(visitor=S12)*(visitorscore&lt;homescore))</f>
        <v>8</v>
      </c>
      <c r="W12" s="72">
        <f t="shared" ref="W12" si="32">SUMIF(home,S12,homescore)+SUMIF(visitor,S12,visitorscore)</f>
        <v>0</v>
      </c>
      <c r="X12" s="73">
        <f t="shared" ref="X12" si="33">SUMIF(home,S12,visitorscore)+SUMIF(visitor,S12,homescore)</f>
        <v>88</v>
      </c>
      <c r="Y12" s="57">
        <f>W12-X12</f>
        <v>-88</v>
      </c>
      <c r="Z12" s="74">
        <f>IF(X12&gt;0,W12/X12,0)</f>
        <v>0</v>
      </c>
      <c r="AA12" s="72">
        <f>2*U12</f>
        <v>0</v>
      </c>
      <c r="AB12" s="75">
        <f>W12+Z12*1000+Y12*10000+AA12*100000000</f>
        <v>-880000</v>
      </c>
      <c r="AC12" s="56">
        <f t="shared" si="16"/>
        <v>10</v>
      </c>
    </row>
    <row r="13" spans="1:29">
      <c r="A13" s="79" t="s">
        <v>110</v>
      </c>
    </row>
    <row r="15" spans="1:29">
      <c r="H15"/>
      <c r="I15"/>
      <c r="J15"/>
      <c r="K15"/>
      <c r="L15"/>
      <c r="M15"/>
      <c r="N15"/>
      <c r="O15"/>
      <c r="P15"/>
    </row>
    <row r="16" spans="1:29">
      <c r="A16" s="65" t="s">
        <v>27</v>
      </c>
      <c r="B16" s="65" t="s">
        <v>68</v>
      </c>
      <c r="H16"/>
      <c r="I16"/>
      <c r="J16"/>
      <c r="K16"/>
      <c r="L16"/>
      <c r="M16"/>
      <c r="N16"/>
      <c r="O16"/>
      <c r="P16"/>
    </row>
    <row r="17" spans="1:29">
      <c r="A17" s="26" t="str">
        <f>A4</f>
        <v>OLIMP MIŃSK MAZ. 10</v>
      </c>
      <c r="B17" s="26" t="str">
        <f>A13</f>
        <v>OLIMP MIŃSK MAZ. 7</v>
      </c>
      <c r="C17" s="67">
        <v>11</v>
      </c>
      <c r="D17" s="67" t="s">
        <v>29</v>
      </c>
      <c r="E17" s="67">
        <v>0</v>
      </c>
      <c r="H17"/>
      <c r="I17"/>
      <c r="J17"/>
      <c r="K17"/>
      <c r="L17"/>
      <c r="M17"/>
      <c r="N17"/>
      <c r="O17"/>
      <c r="P17"/>
    </row>
    <row r="18" spans="1:29">
      <c r="A18" s="26" t="str">
        <f>A5</f>
        <v>LEGIA WARSZAWA 2</v>
      </c>
      <c r="B18" s="26" t="str">
        <f>A12</f>
        <v>UKS LESZNOWOLA 12</v>
      </c>
      <c r="C18" s="67">
        <v>8</v>
      </c>
      <c r="D18" s="67" t="s">
        <v>29</v>
      </c>
      <c r="E18" s="67">
        <v>11</v>
      </c>
      <c r="F18" s="57"/>
      <c r="H18"/>
      <c r="I18"/>
      <c r="J18"/>
      <c r="K18"/>
      <c r="L18"/>
      <c r="M18"/>
      <c r="N18"/>
      <c r="O18"/>
      <c r="P18"/>
    </row>
    <row r="19" spans="1:29">
      <c r="A19" s="26" t="str">
        <f>A6</f>
        <v>UKS LESZNOWOLA 244</v>
      </c>
      <c r="B19" s="26" t="str">
        <f>A11</f>
        <v>OLIMP MIŃSK MAZ. 12</v>
      </c>
      <c r="C19" s="67">
        <v>0</v>
      </c>
      <c r="D19" s="67" t="s">
        <v>29</v>
      </c>
      <c r="E19" s="67">
        <v>11</v>
      </c>
      <c r="F19" s="57"/>
      <c r="H19"/>
      <c r="I19"/>
      <c r="J19"/>
      <c r="K19"/>
      <c r="L19"/>
      <c r="M19"/>
      <c r="N19"/>
      <c r="O19"/>
      <c r="P19"/>
    </row>
    <row r="20" spans="1:29">
      <c r="A20" s="26" t="str">
        <f>A7</f>
        <v>ORLĘTA RASZYN 6</v>
      </c>
      <c r="B20" s="26" t="str">
        <f>A10</f>
        <v>UKS LESZNOWOLA 24</v>
      </c>
      <c r="C20" s="67">
        <v>6</v>
      </c>
      <c r="D20" s="67" t="s">
        <v>29</v>
      </c>
      <c r="E20" s="67">
        <v>11</v>
      </c>
      <c r="F20" s="57"/>
      <c r="H20"/>
      <c r="I20"/>
      <c r="J20"/>
      <c r="K20"/>
      <c r="L20"/>
      <c r="M20"/>
      <c r="N20"/>
      <c r="O20"/>
      <c r="P20"/>
    </row>
    <row r="21" spans="1:29">
      <c r="A21" s="26" t="str">
        <f>A8</f>
        <v>OLIMP MIŃSK MAZ. 17</v>
      </c>
      <c r="B21" s="26" t="str">
        <f>A9</f>
        <v>GLKS NADARZYN 6</v>
      </c>
      <c r="C21" s="67">
        <v>11</v>
      </c>
      <c r="D21" s="67" t="s">
        <v>29</v>
      </c>
      <c r="E21" s="67">
        <v>9</v>
      </c>
      <c r="F21" s="57"/>
      <c r="H21"/>
      <c r="I21"/>
      <c r="J21"/>
      <c r="K21"/>
      <c r="L21"/>
      <c r="M21"/>
      <c r="N21"/>
      <c r="O21"/>
      <c r="P21"/>
    </row>
    <row r="22" spans="1:29">
      <c r="A22" s="26" t="str">
        <f>A13</f>
        <v>OLIMP MIŃSK MAZ. 7</v>
      </c>
      <c r="B22" s="26" t="str">
        <f>A9</f>
        <v>GLKS NADARZYN 6</v>
      </c>
      <c r="C22" s="67">
        <v>0</v>
      </c>
      <c r="D22" s="67" t="s">
        <v>29</v>
      </c>
      <c r="E22" s="67">
        <v>11</v>
      </c>
      <c r="F22" s="57"/>
      <c r="H22"/>
      <c r="I22"/>
      <c r="J22"/>
      <c r="K22"/>
      <c r="L22"/>
      <c r="M22"/>
      <c r="N22"/>
      <c r="O22"/>
      <c r="P22"/>
    </row>
    <row r="23" spans="1:29">
      <c r="A23" s="26" t="str">
        <f>A10</f>
        <v>UKS LESZNOWOLA 24</v>
      </c>
      <c r="B23" s="26" t="str">
        <f>A8</f>
        <v>OLIMP MIŃSK MAZ. 17</v>
      </c>
      <c r="C23" s="67">
        <v>10</v>
      </c>
      <c r="D23" s="67" t="s">
        <v>29</v>
      </c>
      <c r="E23" s="67">
        <v>11</v>
      </c>
      <c r="F23" s="57" t="s">
        <v>30</v>
      </c>
      <c r="H23"/>
      <c r="I23"/>
      <c r="J23"/>
      <c r="K23"/>
      <c r="L23"/>
      <c r="M23"/>
      <c r="N23"/>
      <c r="O23"/>
      <c r="P23"/>
    </row>
    <row r="24" spans="1:29" s="57" customFormat="1">
      <c r="A24" s="26" t="str">
        <f>A11</f>
        <v>OLIMP MIŃSK MAZ. 12</v>
      </c>
      <c r="B24" s="26" t="str">
        <f>A7</f>
        <v>ORLĘTA RASZYN 6</v>
      </c>
      <c r="C24" s="67">
        <v>6</v>
      </c>
      <c r="D24" s="67" t="s">
        <v>29</v>
      </c>
      <c r="E24" s="67">
        <v>11</v>
      </c>
      <c r="H24"/>
      <c r="I24"/>
      <c r="J24"/>
      <c r="K24"/>
      <c r="L24"/>
      <c r="M24"/>
      <c r="N24"/>
      <c r="O24"/>
      <c r="P24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</row>
    <row r="25" spans="1:29" s="57" customFormat="1">
      <c r="A25" s="26" t="str">
        <f>A12</f>
        <v>UKS LESZNOWOLA 12</v>
      </c>
      <c r="B25" s="26" t="str">
        <f>A6</f>
        <v>UKS LESZNOWOLA 244</v>
      </c>
      <c r="C25" s="67">
        <v>11</v>
      </c>
      <c r="D25" s="67" t="s">
        <v>29</v>
      </c>
      <c r="E25" s="67">
        <v>0</v>
      </c>
      <c r="F25" s="56"/>
      <c r="H25"/>
      <c r="I25"/>
      <c r="J25"/>
      <c r="K25"/>
      <c r="L25"/>
      <c r="M25"/>
      <c r="N25"/>
      <c r="O25"/>
      <c r="P25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</row>
    <row r="26" spans="1:29" s="57" customFormat="1">
      <c r="A26" s="26" t="str">
        <f t="shared" ref="A26:A31" si="34">A4</f>
        <v>OLIMP MIŃSK MAZ. 10</v>
      </c>
      <c r="B26" s="26" t="str">
        <f>A5</f>
        <v>LEGIA WARSZAWA 2</v>
      </c>
      <c r="C26" s="67">
        <v>11</v>
      </c>
      <c r="D26" s="67" t="s">
        <v>29</v>
      </c>
      <c r="E26" s="67">
        <v>3</v>
      </c>
      <c r="F26" s="56"/>
      <c r="H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</row>
    <row r="27" spans="1:29" s="57" customFormat="1">
      <c r="A27" s="26" t="str">
        <f t="shared" si="34"/>
        <v>LEGIA WARSZAWA 2</v>
      </c>
      <c r="B27" s="26" t="str">
        <f>A13</f>
        <v>OLIMP MIŃSK MAZ. 7</v>
      </c>
      <c r="C27" s="67">
        <v>11</v>
      </c>
      <c r="D27" s="67" t="s">
        <v>29</v>
      </c>
      <c r="E27" s="67">
        <v>0</v>
      </c>
      <c r="F27" s="56"/>
      <c r="H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29" s="57" customFormat="1">
      <c r="A28" s="26" t="str">
        <f t="shared" si="34"/>
        <v>UKS LESZNOWOLA 244</v>
      </c>
      <c r="B28" s="26" t="str">
        <f>A4</f>
        <v>OLIMP MIŃSK MAZ. 10</v>
      </c>
      <c r="C28" s="67">
        <v>0</v>
      </c>
      <c r="D28" s="67" t="s">
        <v>29</v>
      </c>
      <c r="E28" s="67">
        <v>11</v>
      </c>
      <c r="F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1:29" s="57" customFormat="1">
      <c r="A29" s="26" t="str">
        <f t="shared" si="34"/>
        <v>ORLĘTA RASZYN 6</v>
      </c>
      <c r="B29" s="26" t="str">
        <f>A12</f>
        <v>UKS LESZNOWOLA 12</v>
      </c>
      <c r="C29" s="67">
        <v>11</v>
      </c>
      <c r="D29" s="67" t="s">
        <v>29</v>
      </c>
      <c r="E29" s="67">
        <v>7</v>
      </c>
      <c r="F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>
      <c r="A30" s="26" t="str">
        <f t="shared" si="34"/>
        <v>OLIMP MIŃSK MAZ. 17</v>
      </c>
      <c r="B30" s="26" t="str">
        <f>A11</f>
        <v>OLIMP MIŃSK MAZ. 12</v>
      </c>
      <c r="C30" s="67">
        <v>11</v>
      </c>
      <c r="D30" s="67" t="s">
        <v>29</v>
      </c>
      <c r="E30" s="67">
        <v>0</v>
      </c>
    </row>
    <row r="31" spans="1:29">
      <c r="A31" s="26" t="str">
        <f t="shared" si="34"/>
        <v>GLKS NADARZYN 6</v>
      </c>
      <c r="B31" s="26" t="str">
        <f>A10</f>
        <v>UKS LESZNOWOLA 24</v>
      </c>
      <c r="C31" s="67">
        <v>8</v>
      </c>
      <c r="D31" s="67" t="s">
        <v>29</v>
      </c>
      <c r="E31" s="67">
        <v>11</v>
      </c>
    </row>
    <row r="32" spans="1:29">
      <c r="A32" s="26" t="str">
        <f>A13</f>
        <v>OLIMP MIŃSK MAZ. 7</v>
      </c>
      <c r="B32" s="26" t="str">
        <f>A10</f>
        <v>UKS LESZNOWOLA 24</v>
      </c>
      <c r="C32" s="67">
        <v>0</v>
      </c>
      <c r="D32" s="67" t="s">
        <v>29</v>
      </c>
      <c r="E32" s="67">
        <v>11</v>
      </c>
    </row>
    <row r="33" spans="1:5">
      <c r="A33" s="26" t="str">
        <f>A12</f>
        <v>UKS LESZNOWOLA 12</v>
      </c>
      <c r="B33" s="26" t="str">
        <f>A8</f>
        <v>OLIMP MIŃSK MAZ. 17</v>
      </c>
      <c r="C33" s="67">
        <v>11</v>
      </c>
      <c r="D33" s="67" t="s">
        <v>29</v>
      </c>
      <c r="E33" s="67">
        <v>4</v>
      </c>
    </row>
    <row r="34" spans="1:5">
      <c r="A34" s="26" t="str">
        <f>A11</f>
        <v>OLIMP MIŃSK MAZ. 12</v>
      </c>
      <c r="B34" s="26" t="str">
        <f>A9</f>
        <v>GLKS NADARZYN 6</v>
      </c>
      <c r="C34" s="67">
        <v>4</v>
      </c>
      <c r="D34" s="67" t="s">
        <v>29</v>
      </c>
      <c r="E34" s="67">
        <v>11</v>
      </c>
    </row>
    <row r="35" spans="1:5">
      <c r="A35" s="26" t="str">
        <f t="shared" ref="A35:A41" si="35">A4</f>
        <v>OLIMP MIŃSK MAZ. 10</v>
      </c>
      <c r="B35" s="26" t="str">
        <f>A7</f>
        <v>ORLĘTA RASZYN 6</v>
      </c>
      <c r="C35" s="67">
        <v>11</v>
      </c>
      <c r="D35" s="67" t="s">
        <v>29</v>
      </c>
      <c r="E35" s="67">
        <v>5</v>
      </c>
    </row>
    <row r="36" spans="1:5">
      <c r="A36" s="26" t="str">
        <f t="shared" si="35"/>
        <v>LEGIA WARSZAWA 2</v>
      </c>
      <c r="B36" s="26" t="str">
        <f>A6</f>
        <v>UKS LESZNOWOLA 244</v>
      </c>
      <c r="C36" s="67">
        <v>11</v>
      </c>
      <c r="D36" s="67" t="s">
        <v>29</v>
      </c>
      <c r="E36" s="67">
        <v>0</v>
      </c>
    </row>
    <row r="37" spans="1:5">
      <c r="A37" s="26" t="str">
        <f t="shared" si="35"/>
        <v>UKS LESZNOWOLA 244</v>
      </c>
      <c r="B37" s="26" t="str">
        <f>A13</f>
        <v>OLIMP MIŃSK MAZ. 7</v>
      </c>
      <c r="C37" s="67">
        <v>0</v>
      </c>
      <c r="D37" s="67" t="s">
        <v>29</v>
      </c>
      <c r="E37" s="67">
        <v>0</v>
      </c>
    </row>
    <row r="38" spans="1:5">
      <c r="A38" s="26" t="str">
        <f t="shared" si="35"/>
        <v>ORLĘTA RASZYN 6</v>
      </c>
      <c r="B38" s="26" t="str">
        <f>A5</f>
        <v>LEGIA WARSZAWA 2</v>
      </c>
      <c r="C38" s="67">
        <v>11</v>
      </c>
      <c r="D38" s="67" t="s">
        <v>29</v>
      </c>
      <c r="E38" s="67">
        <v>5</v>
      </c>
    </row>
    <row r="39" spans="1:5">
      <c r="A39" s="26" t="str">
        <f t="shared" si="35"/>
        <v>OLIMP MIŃSK MAZ. 17</v>
      </c>
      <c r="B39" s="26" t="str">
        <f>A4</f>
        <v>OLIMP MIŃSK MAZ. 10</v>
      </c>
      <c r="C39" s="67">
        <v>9</v>
      </c>
      <c r="D39" s="67" t="s">
        <v>29</v>
      </c>
      <c r="E39" s="67">
        <v>11</v>
      </c>
    </row>
    <row r="40" spans="1:5">
      <c r="A40" s="26" t="str">
        <f t="shared" si="35"/>
        <v>GLKS NADARZYN 6</v>
      </c>
      <c r="B40" s="26" t="str">
        <f>A12</f>
        <v>UKS LESZNOWOLA 12</v>
      </c>
      <c r="C40" s="67">
        <v>11</v>
      </c>
      <c r="D40" s="67" t="s">
        <v>29</v>
      </c>
      <c r="E40" s="67">
        <v>8</v>
      </c>
    </row>
    <row r="41" spans="1:5">
      <c r="A41" s="26" t="str">
        <f t="shared" si="35"/>
        <v>UKS LESZNOWOLA 24</v>
      </c>
      <c r="B41" s="26" t="str">
        <f>A11</f>
        <v>OLIMP MIŃSK MAZ. 12</v>
      </c>
      <c r="C41" s="67">
        <v>11</v>
      </c>
      <c r="D41" s="67" t="s">
        <v>29</v>
      </c>
      <c r="E41" s="67">
        <v>5</v>
      </c>
    </row>
    <row r="42" spans="1:5">
      <c r="A42" s="26" t="str">
        <f>A13</f>
        <v>OLIMP MIŃSK MAZ. 7</v>
      </c>
      <c r="B42" s="26" t="str">
        <f>A11</f>
        <v>OLIMP MIŃSK MAZ. 12</v>
      </c>
      <c r="C42" s="67">
        <v>0</v>
      </c>
      <c r="D42" s="67" t="s">
        <v>29</v>
      </c>
      <c r="E42" s="67">
        <v>11</v>
      </c>
    </row>
    <row r="43" spans="1:5">
      <c r="A43" s="26" t="str">
        <f>A12</f>
        <v>UKS LESZNOWOLA 12</v>
      </c>
      <c r="B43" s="26" t="str">
        <f>A10</f>
        <v>UKS LESZNOWOLA 24</v>
      </c>
      <c r="C43" s="67">
        <v>11</v>
      </c>
      <c r="D43" s="67" t="s">
        <v>29</v>
      </c>
      <c r="E43" s="67">
        <v>8</v>
      </c>
    </row>
    <row r="44" spans="1:5">
      <c r="A44" s="26" t="str">
        <f t="shared" ref="A44:A51" si="36">A4</f>
        <v>OLIMP MIŃSK MAZ. 10</v>
      </c>
      <c r="B44" s="26" t="str">
        <f>A9</f>
        <v>GLKS NADARZYN 6</v>
      </c>
      <c r="C44" s="67">
        <v>11</v>
      </c>
      <c r="D44" s="67" t="s">
        <v>29</v>
      </c>
      <c r="E44" s="67">
        <v>7</v>
      </c>
    </row>
    <row r="45" spans="1:5">
      <c r="A45" s="26" t="str">
        <f t="shared" si="36"/>
        <v>LEGIA WARSZAWA 2</v>
      </c>
      <c r="B45" s="26" t="str">
        <f>A8</f>
        <v>OLIMP MIŃSK MAZ. 17</v>
      </c>
      <c r="C45" s="67">
        <v>7</v>
      </c>
      <c r="D45" s="67" t="s">
        <v>29</v>
      </c>
      <c r="E45" s="67">
        <v>11</v>
      </c>
    </row>
    <row r="46" spans="1:5">
      <c r="A46" s="26" t="str">
        <f t="shared" si="36"/>
        <v>UKS LESZNOWOLA 244</v>
      </c>
      <c r="B46" s="26" t="str">
        <f>A7</f>
        <v>ORLĘTA RASZYN 6</v>
      </c>
      <c r="C46" s="67">
        <v>0</v>
      </c>
      <c r="D46" s="67" t="s">
        <v>29</v>
      </c>
      <c r="E46" s="67">
        <v>11</v>
      </c>
    </row>
    <row r="47" spans="1:5">
      <c r="A47" s="26" t="str">
        <f t="shared" si="36"/>
        <v>ORLĘTA RASZYN 6</v>
      </c>
      <c r="B47" s="26" t="str">
        <f>A13</f>
        <v>OLIMP MIŃSK MAZ. 7</v>
      </c>
      <c r="C47" s="67">
        <v>11</v>
      </c>
      <c r="D47" s="67" t="s">
        <v>29</v>
      </c>
      <c r="E47" s="67">
        <v>0</v>
      </c>
    </row>
    <row r="48" spans="1:5">
      <c r="A48" s="26" t="str">
        <f t="shared" si="36"/>
        <v>OLIMP MIŃSK MAZ. 17</v>
      </c>
      <c r="B48" s="26" t="str">
        <f>A6</f>
        <v>UKS LESZNOWOLA 244</v>
      </c>
      <c r="C48" s="67">
        <v>11</v>
      </c>
      <c r="D48" s="67" t="s">
        <v>29</v>
      </c>
      <c r="E48" s="67">
        <v>0</v>
      </c>
    </row>
    <row r="49" spans="1:5">
      <c r="A49" s="26" t="str">
        <f t="shared" si="36"/>
        <v>GLKS NADARZYN 6</v>
      </c>
      <c r="B49" s="26" t="str">
        <f>A5</f>
        <v>LEGIA WARSZAWA 2</v>
      </c>
      <c r="C49" s="67">
        <v>11</v>
      </c>
      <c r="D49" s="67" t="s">
        <v>29</v>
      </c>
      <c r="E49" s="67">
        <v>7</v>
      </c>
    </row>
    <row r="50" spans="1:5">
      <c r="A50" s="26" t="str">
        <f t="shared" si="36"/>
        <v>UKS LESZNOWOLA 24</v>
      </c>
      <c r="B50" s="26" t="str">
        <f>A4</f>
        <v>OLIMP MIŃSK MAZ. 10</v>
      </c>
      <c r="C50" s="67">
        <v>4</v>
      </c>
      <c r="D50" s="67" t="s">
        <v>29</v>
      </c>
      <c r="E50" s="67">
        <v>11</v>
      </c>
    </row>
    <row r="51" spans="1:5">
      <c r="A51" s="26" t="str">
        <f t="shared" si="36"/>
        <v>OLIMP MIŃSK MAZ. 12</v>
      </c>
      <c r="B51" s="26" t="str">
        <f>A12</f>
        <v>UKS LESZNOWOLA 12</v>
      </c>
      <c r="C51" s="67">
        <v>3</v>
      </c>
      <c r="D51" s="67" t="s">
        <v>29</v>
      </c>
      <c r="E51" s="67">
        <v>11</v>
      </c>
    </row>
    <row r="52" spans="1:5">
      <c r="A52" s="26" t="str">
        <f>A13</f>
        <v>OLIMP MIŃSK MAZ. 7</v>
      </c>
      <c r="B52" s="26" t="str">
        <f>A12</f>
        <v>UKS LESZNOWOLA 12</v>
      </c>
      <c r="C52" s="67">
        <v>0</v>
      </c>
      <c r="D52" s="67" t="s">
        <v>29</v>
      </c>
      <c r="E52" s="67">
        <v>11</v>
      </c>
    </row>
    <row r="53" spans="1:5">
      <c r="A53" s="26" t="str">
        <f t="shared" ref="A53:A61" si="37">A4</f>
        <v>OLIMP MIŃSK MAZ. 10</v>
      </c>
      <c r="B53" s="26" t="str">
        <f>A11</f>
        <v>OLIMP MIŃSK MAZ. 12</v>
      </c>
      <c r="C53" s="67">
        <v>11</v>
      </c>
      <c r="D53" s="67" t="s">
        <v>29</v>
      </c>
      <c r="E53" s="67">
        <v>3</v>
      </c>
    </row>
    <row r="54" spans="1:5">
      <c r="A54" s="26" t="str">
        <f t="shared" si="37"/>
        <v>LEGIA WARSZAWA 2</v>
      </c>
      <c r="B54" s="26" t="str">
        <f>A10</f>
        <v>UKS LESZNOWOLA 24</v>
      </c>
      <c r="C54" s="67">
        <v>4</v>
      </c>
      <c r="D54" s="67" t="s">
        <v>29</v>
      </c>
      <c r="E54" s="67">
        <v>11</v>
      </c>
    </row>
    <row r="55" spans="1:5">
      <c r="A55" s="26" t="str">
        <f t="shared" si="37"/>
        <v>UKS LESZNOWOLA 244</v>
      </c>
      <c r="B55" s="26" t="str">
        <f>A9</f>
        <v>GLKS NADARZYN 6</v>
      </c>
      <c r="C55" s="67">
        <v>0</v>
      </c>
      <c r="D55" s="67" t="s">
        <v>29</v>
      </c>
      <c r="E55" s="67">
        <v>11</v>
      </c>
    </row>
    <row r="56" spans="1:5">
      <c r="A56" s="26" t="str">
        <f t="shared" si="37"/>
        <v>ORLĘTA RASZYN 6</v>
      </c>
      <c r="B56" s="26" t="str">
        <f>A8</f>
        <v>OLIMP MIŃSK MAZ. 17</v>
      </c>
      <c r="C56" s="67">
        <v>11</v>
      </c>
      <c r="D56" s="67" t="s">
        <v>29</v>
      </c>
      <c r="E56" s="67">
        <v>6</v>
      </c>
    </row>
    <row r="57" spans="1:5">
      <c r="A57" s="26" t="str">
        <f t="shared" si="37"/>
        <v>OLIMP MIŃSK MAZ. 17</v>
      </c>
      <c r="B57" s="26" t="str">
        <f>A13</f>
        <v>OLIMP MIŃSK MAZ. 7</v>
      </c>
      <c r="C57" s="67">
        <v>11</v>
      </c>
      <c r="D57" s="67" t="s">
        <v>29</v>
      </c>
      <c r="E57" s="67">
        <v>0</v>
      </c>
    </row>
    <row r="58" spans="1:5">
      <c r="A58" s="26" t="str">
        <f t="shared" si="37"/>
        <v>GLKS NADARZYN 6</v>
      </c>
      <c r="B58" s="26" t="str">
        <f>A7</f>
        <v>ORLĘTA RASZYN 6</v>
      </c>
      <c r="C58" s="67">
        <v>7</v>
      </c>
      <c r="D58" s="67" t="s">
        <v>29</v>
      </c>
      <c r="E58" s="67">
        <v>11</v>
      </c>
    </row>
    <row r="59" spans="1:5">
      <c r="A59" s="26" t="str">
        <f t="shared" si="37"/>
        <v>UKS LESZNOWOLA 24</v>
      </c>
      <c r="B59" s="26" t="str">
        <f>A6</f>
        <v>UKS LESZNOWOLA 244</v>
      </c>
      <c r="C59" s="67">
        <v>11</v>
      </c>
      <c r="D59" s="67" t="s">
        <v>29</v>
      </c>
      <c r="E59" s="67">
        <v>0</v>
      </c>
    </row>
    <row r="60" spans="1:5">
      <c r="A60" s="26" t="str">
        <f t="shared" si="37"/>
        <v>OLIMP MIŃSK MAZ. 12</v>
      </c>
      <c r="B60" s="26" t="str">
        <f>A5</f>
        <v>LEGIA WARSZAWA 2</v>
      </c>
      <c r="C60" s="67">
        <v>11</v>
      </c>
      <c r="D60" s="67" t="s">
        <v>29</v>
      </c>
      <c r="E60" s="67">
        <v>4</v>
      </c>
    </row>
    <row r="61" spans="1:5">
      <c r="A61" s="26" t="str">
        <f t="shared" si="37"/>
        <v>UKS LESZNOWOLA 12</v>
      </c>
      <c r="B61" s="26" t="str">
        <f>A4</f>
        <v>OLIMP MIŃSK MAZ. 10</v>
      </c>
      <c r="C61" s="67">
        <v>11</v>
      </c>
      <c r="D61" s="67" t="s">
        <v>29</v>
      </c>
      <c r="E61" s="67">
        <v>7</v>
      </c>
    </row>
  </sheetData>
  <autoFilter ref="A16:B6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9C0C-7FF8-4DD1-BC2D-06E14EAD6C3B}">
  <dimension ref="A1:AC61"/>
  <sheetViews>
    <sheetView tabSelected="1" topLeftCell="A38" workbookViewId="0">
      <selection activeCell="G59" sqref="G59"/>
    </sheetView>
  </sheetViews>
  <sheetFormatPr defaultColWidth="8.85546875" defaultRowHeight="15"/>
  <cols>
    <col min="1" max="2" width="20.7109375" style="56" bestFit="1" customWidth="1"/>
    <col min="3" max="5" width="3.85546875" style="56" customWidth="1"/>
    <col min="6" max="6" width="8.28515625" style="56" customWidth="1"/>
    <col min="7" max="7" width="8.28515625" style="57" customWidth="1"/>
    <col min="8" max="8" width="21.28515625" style="57" bestFit="1" customWidth="1"/>
    <col min="9" max="9" width="11.7109375" style="57" customWidth="1"/>
    <col min="10" max="16" width="11.7109375" style="56" customWidth="1"/>
    <col min="17" max="17" width="11.42578125" style="56" customWidth="1"/>
    <col min="18" max="18" width="8.85546875" style="56" customWidth="1"/>
    <col min="19" max="19" width="12.7109375" style="56" customWidth="1"/>
    <col min="20" max="26" width="9.140625" style="56" customWidth="1"/>
    <col min="27" max="27" width="7" style="56" customWidth="1"/>
    <col min="28" max="28" width="9.140625" style="56" customWidth="1"/>
    <col min="29" max="29" width="8.85546875" style="56" customWidth="1"/>
    <col min="30" max="16384" width="8.85546875" style="56"/>
  </cols>
  <sheetData>
    <row r="1" spans="1:29" ht="28.5">
      <c r="A1" s="55" t="s">
        <v>111</v>
      </c>
      <c r="S1" s="56" t="s">
        <v>1</v>
      </c>
      <c r="T1" s="56" t="b">
        <f>ROWS(homescore)-COUNT(homescore)=0</f>
        <v>1</v>
      </c>
    </row>
    <row r="2" spans="1:29">
      <c r="H2" s="58" t="s">
        <v>3</v>
      </c>
      <c r="I2" s="59" t="s">
        <v>4</v>
      </c>
      <c r="J2" s="59" t="s">
        <v>5</v>
      </c>
      <c r="K2" s="59" t="s">
        <v>6</v>
      </c>
      <c r="L2" s="59" t="s">
        <v>7</v>
      </c>
      <c r="M2" s="59" t="s">
        <v>8</v>
      </c>
      <c r="N2" s="59" t="s">
        <v>9</v>
      </c>
      <c r="O2" s="60" t="s">
        <v>10</v>
      </c>
      <c r="P2" s="60" t="s">
        <v>11</v>
      </c>
      <c r="T2" s="61" t="s">
        <v>4</v>
      </c>
      <c r="U2" s="62" t="s">
        <v>12</v>
      </c>
      <c r="V2" s="62" t="s">
        <v>13</v>
      </c>
      <c r="W2" s="63" t="s">
        <v>14</v>
      </c>
      <c r="X2" s="58" t="s">
        <v>15</v>
      </c>
      <c r="Y2" s="62" t="s">
        <v>16</v>
      </c>
      <c r="Z2" s="64" t="s">
        <v>17</v>
      </c>
      <c r="AA2" s="63" t="s">
        <v>13</v>
      </c>
      <c r="AB2" s="63" t="s">
        <v>18</v>
      </c>
      <c r="AC2" s="56" t="s">
        <v>100</v>
      </c>
    </row>
    <row r="3" spans="1:29">
      <c r="A3" s="65" t="s">
        <v>3</v>
      </c>
      <c r="B3" s="66"/>
      <c r="H3" s="67" t="str">
        <f>_xlfn.XLOOKUP(1,$AC$3:$AC$12,$S$3:$S$12)</f>
        <v>UKS LESZNOWOLA 15</v>
      </c>
      <c r="I3" s="67">
        <f t="shared" ref="I3:I12" si="0">VLOOKUP($H3,$S$3:$AA$12,2,0)</f>
        <v>9</v>
      </c>
      <c r="J3" s="67">
        <f t="shared" ref="J3:J12" si="1">VLOOKUP($H3,$S$3:$AA$12,3,0)</f>
        <v>9</v>
      </c>
      <c r="K3" s="67">
        <f t="shared" ref="K3:K12" si="2">VLOOKUP($H3,$S$3:$AA$12,4,0)</f>
        <v>0</v>
      </c>
      <c r="L3" s="67">
        <f t="shared" ref="L3:L12" si="3">VLOOKUP($H3,$S$3:$AA$12,5,0)</f>
        <v>99</v>
      </c>
      <c r="M3" s="67">
        <f t="shared" ref="M3:M12" si="4">VLOOKUP($H3,$S$3:$AA$12,6,0)</f>
        <v>47</v>
      </c>
      <c r="N3" s="67">
        <f t="shared" ref="N3:N12" si="5">VLOOKUP($H3,$S$3:$AA$12,7,0)</f>
        <v>52</v>
      </c>
      <c r="O3" s="68">
        <f>IF(Tabela11011[[#This Row],[STRACONE]]=0,0,Tabela11011[[#This Row],[ZDOBYTE]]/Tabela11011[[#This Row],[STRACONE]])</f>
        <v>2.1063829787234041</v>
      </c>
      <c r="P3" s="69">
        <f t="shared" ref="P3:P12" si="6">VLOOKUP($H3,$S$3:$AB$12,9,0)</f>
        <v>18</v>
      </c>
      <c r="S3" s="70" t="str">
        <f t="shared" ref="S3:S10" si="7">A4</f>
        <v>GLKS NADARZYN 2</v>
      </c>
      <c r="T3" s="71">
        <f t="array" ref="T3">SUM((home=S3)*(ISNUMBER(homescore)),(visitor=S3)*(ISNUMBER(visitorscore)))</f>
        <v>9</v>
      </c>
      <c r="U3" s="57">
        <f t="array" ref="U3">SUM((home=S3)*(homescore&gt;visitorscore),(visitor=S3)*(visitorscore&gt;homescore))</f>
        <v>4</v>
      </c>
      <c r="V3" s="57">
        <f t="array" ref="V3">SUM((home=S3)*(homescore&lt;visitorscore),(visitor=S3)*(visitorscore&lt;homescore))</f>
        <v>5</v>
      </c>
      <c r="W3" s="72">
        <f t="shared" ref="W3" si="8">SUMIF(home,S3,homescore)+SUMIF(visitor,S3,visitorscore)</f>
        <v>66</v>
      </c>
      <c r="X3" s="73">
        <f t="shared" ref="X3" si="9">SUMIF(home,S3,visitorscore)+SUMIF(visitor,S3,homescore)</f>
        <v>85</v>
      </c>
      <c r="Y3" s="57">
        <f>W3-X3</f>
        <v>-19</v>
      </c>
      <c r="Z3" s="74">
        <f>IF(X3&gt;0,W3/X3,0)</f>
        <v>0.77647058823529413</v>
      </c>
      <c r="AA3" s="72">
        <f>2*U3</f>
        <v>8</v>
      </c>
      <c r="AB3" s="75">
        <f>W3+Z3*1000+Y3*10000+AA3*100000000</f>
        <v>799810842.47058821</v>
      </c>
      <c r="AC3" s="56">
        <f>RANK(AB3,$AB$3:$AB$12)</f>
        <v>7</v>
      </c>
    </row>
    <row r="4" spans="1:29">
      <c r="A4" s="79" t="s">
        <v>112</v>
      </c>
      <c r="H4" s="67" t="str">
        <f>_xlfn.XLOOKUP(2,$AC$3:$AC$12,$S$3:$S$12)</f>
        <v>LEN ŻYRARDÓW 8</v>
      </c>
      <c r="I4" s="67">
        <f t="shared" si="0"/>
        <v>9</v>
      </c>
      <c r="J4" s="67">
        <f t="shared" si="1"/>
        <v>8</v>
      </c>
      <c r="K4" s="67">
        <f t="shared" si="2"/>
        <v>1</v>
      </c>
      <c r="L4" s="67">
        <f t="shared" si="3"/>
        <v>97</v>
      </c>
      <c r="M4" s="67">
        <f t="shared" si="4"/>
        <v>69</v>
      </c>
      <c r="N4" s="67">
        <f t="shared" si="5"/>
        <v>28</v>
      </c>
      <c r="O4" s="68">
        <f>IF(Tabela11011[[#This Row],[STRACONE]]=0,0,Tabela11011[[#This Row],[ZDOBYTE]]/Tabela11011[[#This Row],[STRACONE]])</f>
        <v>1.4057971014492754</v>
      </c>
      <c r="P4" s="69">
        <f t="shared" si="6"/>
        <v>16</v>
      </c>
      <c r="S4" s="76" t="str">
        <f t="shared" si="7"/>
        <v>OLIMP MIŃSK MAZ. 9</v>
      </c>
      <c r="T4" s="71">
        <f t="array" ref="T4">SUM((home=S4)*(ISNUMBER(homescore)),(visitor=S4)*(ISNUMBER(visitorscore)))</f>
        <v>9</v>
      </c>
      <c r="U4" s="57">
        <f t="array" ref="U4">SUM((home=S4)*(homescore&gt;visitorscore),(visitor=S4)*(visitorscore&gt;homescore))</f>
        <v>1</v>
      </c>
      <c r="V4" s="57">
        <f t="array" ref="V4">SUM((home=S4)*(homescore&lt;visitorscore),(visitor=S4)*(visitorscore&lt;homescore))</f>
        <v>8</v>
      </c>
      <c r="W4" s="72">
        <f t="shared" ref="W4" si="10">SUMIF(home,S4,homescore)+SUMIF(visitor,S4,visitorscore)</f>
        <v>49</v>
      </c>
      <c r="X4" s="73">
        <f t="shared" ref="X4" si="11">SUMIF(home,S4,visitorscore)+SUMIF(visitor,S4,homescore)</f>
        <v>88</v>
      </c>
      <c r="Y4" s="57">
        <f t="shared" ref="Y4:Y11" si="12">W4-X4</f>
        <v>-39</v>
      </c>
      <c r="Z4" s="74">
        <f t="shared" ref="Z4:Z11" si="13">IF(X4&gt;0,W4/X4,0)</f>
        <v>0.55681818181818177</v>
      </c>
      <c r="AA4" s="72">
        <f t="shared" ref="AA4:AA11" si="14">2*U4</f>
        <v>2</v>
      </c>
      <c r="AB4" s="75">
        <f t="shared" ref="AB4:AB11" si="15">W4+Z4*1000+Y4*10000+AA4*100000000</f>
        <v>199610605.81818181</v>
      </c>
      <c r="AC4" s="56">
        <f t="shared" ref="AC4:AC12" si="16">RANK(AB4,$AB$3:$AB$12)</f>
        <v>10</v>
      </c>
    </row>
    <row r="5" spans="1:29">
      <c r="A5" s="79" t="s">
        <v>113</v>
      </c>
      <c r="H5" s="67" t="str">
        <f>_xlfn.XLOOKUP(3,$AC$3:$AC$12,$S$3:$S$12)</f>
        <v>UKS LESZNOWOLA 19</v>
      </c>
      <c r="I5" s="67">
        <f t="shared" si="0"/>
        <v>9</v>
      </c>
      <c r="J5" s="67">
        <f t="shared" si="1"/>
        <v>7</v>
      </c>
      <c r="K5" s="67">
        <f t="shared" si="2"/>
        <v>2</v>
      </c>
      <c r="L5" s="67">
        <f t="shared" si="3"/>
        <v>93</v>
      </c>
      <c r="M5" s="67">
        <f t="shared" si="4"/>
        <v>67</v>
      </c>
      <c r="N5" s="67">
        <f t="shared" si="5"/>
        <v>26</v>
      </c>
      <c r="O5" s="68">
        <f>IF(Tabela11011[[#This Row],[STRACONE]]=0,0,Tabela11011[[#This Row],[ZDOBYTE]]/Tabela11011[[#This Row],[STRACONE]])</f>
        <v>1.3880597014925373</v>
      </c>
      <c r="P5" s="69">
        <f t="shared" si="6"/>
        <v>14</v>
      </c>
      <c r="S5" s="76" t="str">
        <f t="shared" si="7"/>
        <v>ORLĘTA RASZYN 1</v>
      </c>
      <c r="T5" s="71">
        <f t="array" ref="T5">SUM((home=S5)*(ISNUMBER(homescore)),(visitor=S5)*(ISNUMBER(visitorscore)))</f>
        <v>9</v>
      </c>
      <c r="U5" s="57">
        <f t="array" ref="U5">SUM((home=S5)*(homescore&gt;visitorscore),(visitor=S5)*(visitorscore&gt;homescore))</f>
        <v>4</v>
      </c>
      <c r="V5" s="57">
        <f t="array" ref="V5">SUM((home=S5)*(homescore&lt;visitorscore),(visitor=S5)*(visitorscore&lt;homescore))</f>
        <v>5</v>
      </c>
      <c r="W5" s="72">
        <f t="shared" ref="W5" si="17">SUMIF(home,S5,homescore)+SUMIF(visitor,S5,visitorscore)</f>
        <v>83</v>
      </c>
      <c r="X5" s="73">
        <f t="shared" ref="X5" si="18">SUMIF(home,S5,visitorscore)+SUMIF(visitor,S5,homescore)</f>
        <v>82</v>
      </c>
      <c r="Y5" s="57">
        <f t="shared" si="12"/>
        <v>1</v>
      </c>
      <c r="Z5" s="74">
        <f t="shared" si="13"/>
        <v>1.0121951219512195</v>
      </c>
      <c r="AA5" s="72">
        <f t="shared" si="14"/>
        <v>8</v>
      </c>
      <c r="AB5" s="75">
        <f t="shared" si="15"/>
        <v>800011095.195122</v>
      </c>
      <c r="AC5" s="56">
        <f t="shared" si="16"/>
        <v>6</v>
      </c>
    </row>
    <row r="6" spans="1:29">
      <c r="A6" s="79" t="s">
        <v>114</v>
      </c>
      <c r="H6" s="67" t="str">
        <f>_xlfn.XLOOKUP(4,$AC$3:$AC$12,$S$3:$S$12)</f>
        <v>ISKRA WARSZAWA 2</v>
      </c>
      <c r="I6" s="67">
        <f t="shared" si="0"/>
        <v>9</v>
      </c>
      <c r="J6" s="67">
        <f t="shared" si="1"/>
        <v>5</v>
      </c>
      <c r="K6" s="67">
        <f t="shared" si="2"/>
        <v>4</v>
      </c>
      <c r="L6" s="67">
        <f t="shared" si="3"/>
        <v>85</v>
      </c>
      <c r="M6" s="67">
        <f t="shared" si="4"/>
        <v>73</v>
      </c>
      <c r="N6" s="67">
        <f t="shared" si="5"/>
        <v>12</v>
      </c>
      <c r="O6" s="68">
        <f>IF(Tabela11011[[#This Row],[STRACONE]]=0,0,Tabela11011[[#This Row],[ZDOBYTE]]/Tabela11011[[#This Row],[STRACONE]])</f>
        <v>1.1643835616438356</v>
      </c>
      <c r="P6" s="69">
        <f t="shared" si="6"/>
        <v>10</v>
      </c>
      <c r="S6" s="76" t="str">
        <f t="shared" si="7"/>
        <v>UKS LESZNOWOLA 19</v>
      </c>
      <c r="T6" s="71">
        <f t="array" ref="T6">SUM((home=S6)*(ISNUMBER(homescore)),(visitor=S6)*(ISNUMBER(visitorscore)))</f>
        <v>9</v>
      </c>
      <c r="U6" s="57">
        <f t="array" ref="U6">SUM((home=S6)*(homescore&gt;visitorscore),(visitor=S6)*(visitorscore&gt;homescore))</f>
        <v>7</v>
      </c>
      <c r="V6" s="57">
        <f t="array" ref="V6">SUM((home=S6)*(homescore&lt;visitorscore),(visitor=S6)*(visitorscore&lt;homescore))</f>
        <v>2</v>
      </c>
      <c r="W6" s="72">
        <f t="shared" ref="W6" si="19">SUMIF(home,S6,homescore)+SUMIF(visitor,S6,visitorscore)</f>
        <v>93</v>
      </c>
      <c r="X6" s="73">
        <f t="shared" ref="X6" si="20">SUMIF(home,S6,visitorscore)+SUMIF(visitor,S6,homescore)</f>
        <v>67</v>
      </c>
      <c r="Y6" s="57">
        <f t="shared" si="12"/>
        <v>26</v>
      </c>
      <c r="Z6" s="74">
        <f t="shared" si="13"/>
        <v>1.3880597014925373</v>
      </c>
      <c r="AA6" s="72">
        <f t="shared" si="14"/>
        <v>14</v>
      </c>
      <c r="AB6" s="75">
        <f t="shared" si="15"/>
        <v>1400261481.0597014</v>
      </c>
      <c r="AC6" s="56">
        <f t="shared" si="16"/>
        <v>3</v>
      </c>
    </row>
    <row r="7" spans="1:29">
      <c r="A7" s="79" t="s">
        <v>115</v>
      </c>
      <c r="H7" s="67" t="str">
        <f>_xlfn.XLOOKUP(5,$AC$3:$AC$12,$S$3:$S$12)</f>
        <v>METRO WARSZAWA 6</v>
      </c>
      <c r="I7" s="67">
        <f t="shared" si="0"/>
        <v>9</v>
      </c>
      <c r="J7" s="67">
        <f t="shared" si="1"/>
        <v>5</v>
      </c>
      <c r="K7" s="67">
        <f t="shared" si="2"/>
        <v>4</v>
      </c>
      <c r="L7" s="67">
        <f t="shared" si="3"/>
        <v>89</v>
      </c>
      <c r="M7" s="67">
        <f t="shared" si="4"/>
        <v>78</v>
      </c>
      <c r="N7" s="67">
        <f t="shared" si="5"/>
        <v>11</v>
      </c>
      <c r="O7" s="68">
        <f>IF(Tabela11011[[#This Row],[STRACONE]]=0,0,Tabela11011[[#This Row],[ZDOBYTE]]/Tabela11011[[#This Row],[STRACONE]])</f>
        <v>1.141025641025641</v>
      </c>
      <c r="P7" s="69">
        <f t="shared" si="6"/>
        <v>10</v>
      </c>
      <c r="S7" s="76" t="str">
        <f t="shared" si="7"/>
        <v>METRO WARSZAWA 6</v>
      </c>
      <c r="T7" s="71">
        <f t="array" ref="T7">SUM((home=S7)*(ISNUMBER(homescore)),(visitor=S7)*(ISNUMBER(visitorscore)))</f>
        <v>9</v>
      </c>
      <c r="U7" s="57">
        <f t="array" ref="U7">SUM((home=S7)*(homescore&gt;visitorscore),(visitor=S7)*(visitorscore&gt;homescore))</f>
        <v>5</v>
      </c>
      <c r="V7" s="57">
        <f t="array" ref="V7">SUM((home=S7)*(homescore&lt;visitorscore),(visitor=S7)*(visitorscore&lt;homescore))</f>
        <v>4</v>
      </c>
      <c r="W7" s="72">
        <f t="shared" ref="W7" si="21">SUMIF(home,S7,homescore)+SUMIF(visitor,S7,visitorscore)</f>
        <v>89</v>
      </c>
      <c r="X7" s="73">
        <f t="shared" ref="X7" si="22">SUMIF(home,S7,visitorscore)+SUMIF(visitor,S7,homescore)</f>
        <v>78</v>
      </c>
      <c r="Y7" s="57">
        <f t="shared" si="12"/>
        <v>11</v>
      </c>
      <c r="Z7" s="74">
        <f t="shared" si="13"/>
        <v>1.141025641025641</v>
      </c>
      <c r="AA7" s="72">
        <f t="shared" si="14"/>
        <v>10</v>
      </c>
      <c r="AB7" s="75">
        <f t="shared" si="15"/>
        <v>1000111230.0256411</v>
      </c>
      <c r="AC7" s="56">
        <f t="shared" si="16"/>
        <v>5</v>
      </c>
    </row>
    <row r="8" spans="1:29">
      <c r="A8" s="79" t="s">
        <v>116</v>
      </c>
      <c r="H8" s="67" t="str">
        <f>_xlfn.XLOOKUP(6,$AC$3:$AC$12,$S$3:$S$12)</f>
        <v>ORLĘTA RASZYN 1</v>
      </c>
      <c r="I8" s="67">
        <f t="shared" si="0"/>
        <v>9</v>
      </c>
      <c r="J8" s="67">
        <f t="shared" si="1"/>
        <v>4</v>
      </c>
      <c r="K8" s="67">
        <f t="shared" si="2"/>
        <v>5</v>
      </c>
      <c r="L8" s="67">
        <f t="shared" si="3"/>
        <v>83</v>
      </c>
      <c r="M8" s="67">
        <f t="shared" si="4"/>
        <v>82</v>
      </c>
      <c r="N8" s="67">
        <f t="shared" si="5"/>
        <v>1</v>
      </c>
      <c r="O8" s="68">
        <f>IF(Tabela11011[[#This Row],[STRACONE]]=0,0,Tabela11011[[#This Row],[ZDOBYTE]]/Tabela11011[[#This Row],[STRACONE]])</f>
        <v>1.0121951219512195</v>
      </c>
      <c r="P8" s="69">
        <f t="shared" si="6"/>
        <v>8</v>
      </c>
      <c r="S8" s="76" t="str">
        <f t="shared" si="7"/>
        <v>UKS LESZNOWOLA 15</v>
      </c>
      <c r="T8" s="71">
        <f t="array" ref="T8">SUM((home=S8)*(ISNUMBER(homescore)),(visitor=S8)*(ISNUMBER(visitorscore)))</f>
        <v>9</v>
      </c>
      <c r="U8" s="57">
        <f t="array" ref="U8">SUM((home=S8)*(homescore&gt;visitorscore),(visitor=S8)*(visitorscore&gt;homescore))</f>
        <v>9</v>
      </c>
      <c r="V8" s="57">
        <f t="array" ref="V8">SUM((home=S8)*(homescore&lt;visitorscore),(visitor=S8)*(visitorscore&lt;homescore))</f>
        <v>0</v>
      </c>
      <c r="W8" s="72">
        <f t="shared" ref="W8" si="23">SUMIF(home,S8,homescore)+SUMIF(visitor,S8,visitorscore)</f>
        <v>99</v>
      </c>
      <c r="X8" s="73">
        <f t="shared" ref="X8" si="24">SUMIF(home,S8,visitorscore)+SUMIF(visitor,S8,homescore)</f>
        <v>47</v>
      </c>
      <c r="Y8" s="57">
        <f t="shared" si="12"/>
        <v>52</v>
      </c>
      <c r="Z8" s="74">
        <f t="shared" si="13"/>
        <v>2.1063829787234041</v>
      </c>
      <c r="AA8" s="72">
        <f t="shared" si="14"/>
        <v>18</v>
      </c>
      <c r="AB8" s="75">
        <f t="shared" si="15"/>
        <v>1800522205.3829787</v>
      </c>
      <c r="AC8" s="56">
        <f t="shared" si="16"/>
        <v>1</v>
      </c>
    </row>
    <row r="9" spans="1:29">
      <c r="A9" s="79" t="s">
        <v>117</v>
      </c>
      <c r="H9" s="67" t="str">
        <f>_xlfn.XLOOKUP(7,$AC$3:$AC$12,$S$3:$S$12)</f>
        <v>GLKS NADARZYN 2</v>
      </c>
      <c r="I9" s="67">
        <f t="shared" si="0"/>
        <v>9</v>
      </c>
      <c r="J9" s="67">
        <f t="shared" si="1"/>
        <v>4</v>
      </c>
      <c r="K9" s="67">
        <f t="shared" si="2"/>
        <v>5</v>
      </c>
      <c r="L9" s="67">
        <f t="shared" si="3"/>
        <v>66</v>
      </c>
      <c r="M9" s="67">
        <f t="shared" si="4"/>
        <v>85</v>
      </c>
      <c r="N9" s="67">
        <f t="shared" si="5"/>
        <v>-19</v>
      </c>
      <c r="O9" s="68">
        <f>IF(Tabela11011[[#This Row],[STRACONE]]=0,0,Tabela11011[[#This Row],[ZDOBYTE]]/Tabela11011[[#This Row],[STRACONE]])</f>
        <v>0.77647058823529413</v>
      </c>
      <c r="P9" s="69">
        <f t="shared" si="6"/>
        <v>8</v>
      </c>
      <c r="S9" s="76" t="str">
        <f t="shared" si="7"/>
        <v>ISKRA WARSZAWA 2</v>
      </c>
      <c r="T9" s="71">
        <f t="array" ref="T9">SUM((home=S9)*(ISNUMBER(homescore)),(visitor=S9)*(ISNUMBER(visitorscore)))</f>
        <v>9</v>
      </c>
      <c r="U9" s="57">
        <f t="array" ref="U9">SUM((home=S9)*(homescore&gt;visitorscore),(visitor=S9)*(visitorscore&gt;homescore))</f>
        <v>5</v>
      </c>
      <c r="V9" s="57">
        <f t="array" ref="V9">SUM((home=S9)*(homescore&lt;visitorscore),(visitor=S9)*(visitorscore&lt;homescore))</f>
        <v>4</v>
      </c>
      <c r="W9" s="72">
        <f t="shared" ref="W9" si="25">SUMIF(home,S9,homescore)+SUMIF(visitor,S9,visitorscore)</f>
        <v>85</v>
      </c>
      <c r="X9" s="73">
        <f t="shared" ref="X9" si="26">SUMIF(home,S9,visitorscore)+SUMIF(visitor,S9,homescore)</f>
        <v>73</v>
      </c>
      <c r="Y9" s="57">
        <f t="shared" si="12"/>
        <v>12</v>
      </c>
      <c r="Z9" s="74">
        <f t="shared" si="13"/>
        <v>1.1643835616438356</v>
      </c>
      <c r="AA9" s="72">
        <f t="shared" si="14"/>
        <v>10</v>
      </c>
      <c r="AB9" s="75">
        <f t="shared" si="15"/>
        <v>1000121249.3835616</v>
      </c>
      <c r="AC9" s="56">
        <f t="shared" si="16"/>
        <v>4</v>
      </c>
    </row>
    <row r="10" spans="1:29">
      <c r="A10" s="79" t="s">
        <v>118</v>
      </c>
      <c r="H10" s="67" t="str">
        <f>_xlfn.XLOOKUP(8,$AC$3:$AC$12,$S$3:$S$12)</f>
        <v>MUKS KRÓTKA 4</v>
      </c>
      <c r="I10" s="67">
        <f t="shared" si="0"/>
        <v>9</v>
      </c>
      <c r="J10" s="67">
        <f t="shared" si="1"/>
        <v>1</v>
      </c>
      <c r="K10" s="67">
        <f t="shared" si="2"/>
        <v>8</v>
      </c>
      <c r="L10" s="67">
        <f t="shared" si="3"/>
        <v>59</v>
      </c>
      <c r="M10" s="67">
        <f t="shared" si="4"/>
        <v>94</v>
      </c>
      <c r="N10" s="67">
        <f t="shared" si="5"/>
        <v>-35</v>
      </c>
      <c r="O10" s="68">
        <f>IF(Tabela11011[[#This Row],[STRACONE]]=0,0,Tabela11011[[#This Row],[ZDOBYTE]]/Tabela11011[[#This Row],[STRACONE]])</f>
        <v>0.62765957446808507</v>
      </c>
      <c r="P10" s="69">
        <f t="shared" si="6"/>
        <v>2</v>
      </c>
      <c r="S10" s="76" t="str">
        <f t="shared" si="7"/>
        <v>MUKS KRÓTKA 4</v>
      </c>
      <c r="T10" s="71">
        <f t="array" ref="T10">SUM((home=S10)*(ISNUMBER(homescore)),(visitor=S10)*(ISNUMBER(visitorscore)))</f>
        <v>9</v>
      </c>
      <c r="U10" s="57">
        <f t="array" ref="U10">SUM((home=S10)*(homescore&gt;visitorscore),(visitor=S10)*(visitorscore&gt;homescore))</f>
        <v>1</v>
      </c>
      <c r="V10" s="57">
        <f t="array" ref="V10">SUM((home=S10)*(homescore&lt;visitorscore),(visitor=S10)*(visitorscore&lt;homescore))</f>
        <v>8</v>
      </c>
      <c r="W10" s="72">
        <f t="shared" ref="W10" si="27">SUMIF(home,S10,homescore)+SUMIF(visitor,S10,visitorscore)</f>
        <v>59</v>
      </c>
      <c r="X10" s="73">
        <f t="shared" ref="X10" si="28">SUMIF(home,S10,visitorscore)+SUMIF(visitor,S10,homescore)</f>
        <v>94</v>
      </c>
      <c r="Y10" s="57">
        <f t="shared" si="12"/>
        <v>-35</v>
      </c>
      <c r="Z10" s="74">
        <f t="shared" si="13"/>
        <v>0.62765957446808507</v>
      </c>
      <c r="AA10" s="72">
        <f t="shared" si="14"/>
        <v>2</v>
      </c>
      <c r="AB10" s="75">
        <f t="shared" si="15"/>
        <v>199650686.65957448</v>
      </c>
      <c r="AC10" s="56">
        <f t="shared" si="16"/>
        <v>8</v>
      </c>
    </row>
    <row r="11" spans="1:29">
      <c r="A11" s="79" t="s">
        <v>119</v>
      </c>
      <c r="H11" s="67" t="str">
        <f>_xlfn.XLOOKUP(9,$AC$3:$AC$12,$S$3:$S$12)</f>
        <v>OLIMP MIŃSK MAZ. 13</v>
      </c>
      <c r="I11" s="67">
        <f t="shared" si="0"/>
        <v>9</v>
      </c>
      <c r="J11" s="67">
        <f t="shared" si="1"/>
        <v>1</v>
      </c>
      <c r="K11" s="67">
        <f t="shared" si="2"/>
        <v>8</v>
      </c>
      <c r="L11" s="67">
        <f t="shared" si="3"/>
        <v>56</v>
      </c>
      <c r="M11" s="67">
        <f t="shared" si="4"/>
        <v>93</v>
      </c>
      <c r="N11" s="67">
        <f t="shared" si="5"/>
        <v>-37</v>
      </c>
      <c r="O11" s="68">
        <f>IF(Tabela11011[[#This Row],[STRACONE]]=0,0,Tabela11011[[#This Row],[ZDOBYTE]]/Tabela11011[[#This Row],[STRACONE]])</f>
        <v>0.60215053763440862</v>
      </c>
      <c r="P11" s="69">
        <f t="shared" si="6"/>
        <v>2</v>
      </c>
      <c r="S11" s="76" t="str">
        <f>A12</f>
        <v>OLIMP MIŃSK MAZ. 13</v>
      </c>
      <c r="T11" s="71">
        <f t="array" ref="T11">SUM((home=S11)*(ISNUMBER(homescore)),(visitor=S11)*(ISNUMBER(visitorscore)))</f>
        <v>9</v>
      </c>
      <c r="U11" s="57">
        <f t="array" ref="U11">SUM((home=S11)*(homescore&gt;visitorscore),(visitor=S11)*(visitorscore&gt;homescore))</f>
        <v>1</v>
      </c>
      <c r="V11" s="57">
        <f t="array" ref="V11">SUM((home=S11)*(homescore&lt;visitorscore),(visitor=S11)*(visitorscore&lt;homescore))</f>
        <v>8</v>
      </c>
      <c r="W11" s="72">
        <f t="shared" ref="W11" si="29">SUMIF(home,S11,homescore)+SUMIF(visitor,S11,visitorscore)</f>
        <v>56</v>
      </c>
      <c r="X11" s="73">
        <f t="shared" ref="X11" si="30">SUMIF(home,S11,visitorscore)+SUMIF(visitor,S11,homescore)</f>
        <v>93</v>
      </c>
      <c r="Y11" s="57">
        <f t="shared" si="12"/>
        <v>-37</v>
      </c>
      <c r="Z11" s="74">
        <f t="shared" si="13"/>
        <v>0.60215053763440862</v>
      </c>
      <c r="AA11" s="72">
        <f t="shared" si="14"/>
        <v>2</v>
      </c>
      <c r="AB11" s="75">
        <f t="shared" si="15"/>
        <v>199630658.15053764</v>
      </c>
      <c r="AC11" s="56">
        <f t="shared" si="16"/>
        <v>9</v>
      </c>
    </row>
    <row r="12" spans="1:29">
      <c r="A12" s="79" t="s">
        <v>120</v>
      </c>
      <c r="H12" s="67" t="str">
        <f>_xlfn.XLOOKUP(10,$AC$3:$AC$12,$S$3:$S$12)</f>
        <v>OLIMP MIŃSK MAZ. 9</v>
      </c>
      <c r="I12" s="67">
        <f t="shared" si="0"/>
        <v>9</v>
      </c>
      <c r="J12" s="67">
        <f t="shared" si="1"/>
        <v>1</v>
      </c>
      <c r="K12" s="67">
        <f t="shared" si="2"/>
        <v>8</v>
      </c>
      <c r="L12" s="67">
        <f t="shared" si="3"/>
        <v>49</v>
      </c>
      <c r="M12" s="67">
        <f t="shared" si="4"/>
        <v>88</v>
      </c>
      <c r="N12" s="67">
        <f t="shared" si="5"/>
        <v>-39</v>
      </c>
      <c r="O12" s="68">
        <f>IF(Tabela11011[[#This Row],[STRACONE]]=0,0,Tabela11011[[#This Row],[ZDOBYTE]]/Tabela11011[[#This Row],[STRACONE]])</f>
        <v>0.55681818181818177</v>
      </c>
      <c r="P12" s="69">
        <f t="shared" si="6"/>
        <v>2</v>
      </c>
      <c r="S12" s="77" t="str">
        <f t="shared" ref="S12" si="31">A13</f>
        <v>LEN ŻYRARDÓW 8</v>
      </c>
      <c r="T12" s="71">
        <f t="array" ref="T12">SUM((home=S12)*(ISNUMBER(homescore)),(visitor=S12)*(ISNUMBER(visitorscore)))</f>
        <v>9</v>
      </c>
      <c r="U12" s="57">
        <f t="array" ref="U12">SUM((home=S12)*(homescore&gt;visitorscore),(visitor=S12)*(visitorscore&gt;homescore))</f>
        <v>8</v>
      </c>
      <c r="V12" s="57">
        <f t="array" ref="V12">SUM((home=S12)*(homescore&lt;visitorscore),(visitor=S12)*(visitorscore&lt;homescore))</f>
        <v>1</v>
      </c>
      <c r="W12" s="72">
        <f t="shared" ref="W12" si="32">SUMIF(home,S12,homescore)+SUMIF(visitor,S12,visitorscore)</f>
        <v>97</v>
      </c>
      <c r="X12" s="73">
        <f t="shared" ref="X12" si="33">SUMIF(home,S12,visitorscore)+SUMIF(visitor,S12,homescore)</f>
        <v>69</v>
      </c>
      <c r="Y12" s="57">
        <f>W12-X12</f>
        <v>28</v>
      </c>
      <c r="Z12" s="74">
        <f>IF(X12&gt;0,W12/X12,0)</f>
        <v>1.4057971014492754</v>
      </c>
      <c r="AA12" s="72">
        <f>2*U12</f>
        <v>16</v>
      </c>
      <c r="AB12" s="75">
        <f>W12+Z12*1000+Y12*10000+AA12*100000000</f>
        <v>1600281502.7971015</v>
      </c>
      <c r="AC12" s="56">
        <f t="shared" si="16"/>
        <v>2</v>
      </c>
    </row>
    <row r="13" spans="1:29">
      <c r="A13" s="79" t="s">
        <v>121</v>
      </c>
    </row>
    <row r="15" spans="1:29">
      <c r="H15"/>
      <c r="I15"/>
      <c r="J15"/>
      <c r="K15"/>
      <c r="L15"/>
      <c r="M15"/>
      <c r="N15"/>
      <c r="O15"/>
      <c r="P15"/>
    </row>
    <row r="16" spans="1:29">
      <c r="A16" s="65" t="s">
        <v>27</v>
      </c>
      <c r="B16" s="65" t="s">
        <v>68</v>
      </c>
      <c r="H16"/>
      <c r="I16"/>
      <c r="J16"/>
      <c r="K16"/>
      <c r="L16"/>
      <c r="M16"/>
      <c r="N16"/>
      <c r="O16"/>
      <c r="P16"/>
    </row>
    <row r="17" spans="1:29">
      <c r="A17" s="26" t="str">
        <f>A4</f>
        <v>GLKS NADARZYN 2</v>
      </c>
      <c r="B17" s="26" t="str">
        <f>A13</f>
        <v>LEN ŻYRARDÓW 8</v>
      </c>
      <c r="C17" s="67">
        <v>9</v>
      </c>
      <c r="D17" s="67" t="s">
        <v>29</v>
      </c>
      <c r="E17" s="67">
        <v>11</v>
      </c>
      <c r="H17"/>
      <c r="I17"/>
      <c r="J17"/>
      <c r="K17"/>
      <c r="L17"/>
      <c r="M17"/>
      <c r="N17"/>
      <c r="O17"/>
      <c r="P17"/>
    </row>
    <row r="18" spans="1:29">
      <c r="A18" s="26" t="str">
        <f>A5</f>
        <v>OLIMP MIŃSK MAZ. 9</v>
      </c>
      <c r="B18" s="26" t="str">
        <f>A12</f>
        <v>OLIMP MIŃSK MAZ. 13</v>
      </c>
      <c r="C18" s="67">
        <v>5</v>
      </c>
      <c r="D18" s="67" t="s">
        <v>29</v>
      </c>
      <c r="E18" s="67">
        <v>11</v>
      </c>
      <c r="F18" s="57"/>
      <c r="H18"/>
      <c r="I18"/>
      <c r="J18"/>
      <c r="K18"/>
      <c r="L18"/>
      <c r="M18"/>
      <c r="N18"/>
      <c r="O18"/>
      <c r="P18"/>
    </row>
    <row r="19" spans="1:29">
      <c r="A19" s="26" t="str">
        <f>A6</f>
        <v>ORLĘTA RASZYN 1</v>
      </c>
      <c r="B19" s="26" t="str">
        <f>A11</f>
        <v>MUKS KRÓTKA 4</v>
      </c>
      <c r="C19" s="67">
        <v>11</v>
      </c>
      <c r="D19" s="67" t="s">
        <v>29</v>
      </c>
      <c r="E19" s="67">
        <v>10</v>
      </c>
      <c r="F19" s="57"/>
      <c r="H19"/>
      <c r="I19"/>
      <c r="J19"/>
      <c r="K19"/>
      <c r="L19"/>
      <c r="M19"/>
      <c r="N19"/>
      <c r="O19"/>
      <c r="P19"/>
    </row>
    <row r="20" spans="1:29">
      <c r="A20" s="26" t="str">
        <f>A7</f>
        <v>UKS LESZNOWOLA 19</v>
      </c>
      <c r="B20" s="26" t="str">
        <f>A10</f>
        <v>ISKRA WARSZAWA 2</v>
      </c>
      <c r="C20" s="67">
        <v>11</v>
      </c>
      <c r="D20" s="67" t="s">
        <v>29</v>
      </c>
      <c r="E20" s="67">
        <v>7</v>
      </c>
      <c r="F20" s="57"/>
      <c r="H20"/>
      <c r="I20"/>
      <c r="J20"/>
      <c r="K20"/>
      <c r="L20"/>
      <c r="M20"/>
      <c r="N20"/>
      <c r="O20"/>
      <c r="P20"/>
    </row>
    <row r="21" spans="1:29">
      <c r="A21" s="26" t="str">
        <f>A8</f>
        <v>METRO WARSZAWA 6</v>
      </c>
      <c r="B21" s="26" t="str">
        <f>A9</f>
        <v>UKS LESZNOWOLA 15</v>
      </c>
      <c r="C21" s="67">
        <v>6</v>
      </c>
      <c r="D21" s="67" t="s">
        <v>29</v>
      </c>
      <c r="E21" s="67">
        <v>11</v>
      </c>
      <c r="F21" s="57"/>
      <c r="H21"/>
      <c r="I21"/>
      <c r="J21"/>
      <c r="K21"/>
      <c r="L21"/>
      <c r="M21"/>
      <c r="N21"/>
      <c r="O21"/>
      <c r="P21"/>
    </row>
    <row r="22" spans="1:29">
      <c r="A22" s="26" t="str">
        <f>A13</f>
        <v>LEN ŻYRARDÓW 8</v>
      </c>
      <c r="B22" s="26" t="str">
        <f>A9</f>
        <v>UKS LESZNOWOLA 15</v>
      </c>
      <c r="C22" s="67">
        <v>9</v>
      </c>
      <c r="D22" s="67" t="s">
        <v>29</v>
      </c>
      <c r="E22" s="67">
        <v>11</v>
      </c>
      <c r="F22" s="57"/>
      <c r="H22"/>
      <c r="I22"/>
      <c r="J22"/>
      <c r="K22"/>
      <c r="L22"/>
      <c r="M22"/>
      <c r="N22"/>
      <c r="O22"/>
      <c r="P22"/>
    </row>
    <row r="23" spans="1:29">
      <c r="A23" s="26" t="str">
        <f>A10</f>
        <v>ISKRA WARSZAWA 2</v>
      </c>
      <c r="B23" s="26" t="str">
        <f>A8</f>
        <v>METRO WARSZAWA 6</v>
      </c>
      <c r="C23" s="67">
        <v>9</v>
      </c>
      <c r="D23" s="67" t="s">
        <v>29</v>
      </c>
      <c r="E23" s="67">
        <v>11</v>
      </c>
      <c r="F23" s="57" t="s">
        <v>30</v>
      </c>
      <c r="H23"/>
      <c r="I23"/>
      <c r="J23"/>
      <c r="K23"/>
      <c r="L23"/>
      <c r="M23"/>
      <c r="N23"/>
      <c r="O23"/>
      <c r="P23"/>
    </row>
    <row r="24" spans="1:29" s="57" customFormat="1">
      <c r="A24" s="26" t="str">
        <f>A11</f>
        <v>MUKS KRÓTKA 4</v>
      </c>
      <c r="B24" s="26" t="str">
        <f>A7</f>
        <v>UKS LESZNOWOLA 19</v>
      </c>
      <c r="C24" s="67">
        <v>3</v>
      </c>
      <c r="D24" s="67" t="s">
        <v>29</v>
      </c>
      <c r="E24" s="67">
        <v>11</v>
      </c>
      <c r="H24"/>
      <c r="I24"/>
      <c r="J24"/>
      <c r="K24"/>
      <c r="L24"/>
      <c r="M24"/>
      <c r="N24"/>
      <c r="O24"/>
      <c r="P24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</row>
    <row r="25" spans="1:29" s="57" customFormat="1">
      <c r="A25" s="26" t="str">
        <f>A12</f>
        <v>OLIMP MIŃSK MAZ. 13</v>
      </c>
      <c r="B25" s="26" t="str">
        <f>A6</f>
        <v>ORLĘTA RASZYN 1</v>
      </c>
      <c r="C25" s="67">
        <v>4</v>
      </c>
      <c r="D25" s="67" t="s">
        <v>29</v>
      </c>
      <c r="E25" s="67">
        <v>11</v>
      </c>
      <c r="F25" s="56"/>
      <c r="H25"/>
      <c r="I25"/>
      <c r="J25"/>
      <c r="K25"/>
      <c r="L25"/>
      <c r="M25"/>
      <c r="N25"/>
      <c r="O25"/>
      <c r="P25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</row>
    <row r="26" spans="1:29" s="57" customFormat="1">
      <c r="A26" s="26" t="str">
        <f t="shared" ref="A26:A31" si="34">A4</f>
        <v>GLKS NADARZYN 2</v>
      </c>
      <c r="B26" s="26" t="str">
        <f>A5</f>
        <v>OLIMP MIŃSK MAZ. 9</v>
      </c>
      <c r="C26" s="67">
        <v>11</v>
      </c>
      <c r="D26" s="67" t="s">
        <v>29</v>
      </c>
      <c r="E26" s="67">
        <v>5</v>
      </c>
      <c r="F26" s="56"/>
      <c r="H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</row>
    <row r="27" spans="1:29" s="57" customFormat="1">
      <c r="A27" s="26" t="str">
        <f t="shared" si="34"/>
        <v>OLIMP MIŃSK MAZ. 9</v>
      </c>
      <c r="B27" s="26" t="str">
        <f>A13</f>
        <v>LEN ŻYRARDÓW 8</v>
      </c>
      <c r="C27" s="67">
        <v>3</v>
      </c>
      <c r="D27" s="67" t="s">
        <v>29</v>
      </c>
      <c r="E27" s="67">
        <v>11</v>
      </c>
      <c r="F27" s="56"/>
      <c r="H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29" s="57" customFormat="1">
      <c r="A28" s="26" t="str">
        <f t="shared" si="34"/>
        <v>ORLĘTA RASZYN 1</v>
      </c>
      <c r="B28" s="26" t="str">
        <f>A4</f>
        <v>GLKS NADARZYN 2</v>
      </c>
      <c r="C28" s="67">
        <v>10</v>
      </c>
      <c r="D28" s="67" t="s">
        <v>29</v>
      </c>
      <c r="E28" s="67">
        <v>11</v>
      </c>
      <c r="F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1:29" s="57" customFormat="1">
      <c r="A29" s="26" t="str">
        <f t="shared" si="34"/>
        <v>UKS LESZNOWOLA 19</v>
      </c>
      <c r="B29" s="26" t="str">
        <f>A12</f>
        <v>OLIMP MIŃSK MAZ. 13</v>
      </c>
      <c r="C29" s="67">
        <v>11</v>
      </c>
      <c r="D29" s="67" t="s">
        <v>29</v>
      </c>
      <c r="E29" s="67">
        <v>5</v>
      </c>
      <c r="F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>
      <c r="A30" s="26" t="str">
        <f t="shared" si="34"/>
        <v>METRO WARSZAWA 6</v>
      </c>
      <c r="B30" s="26" t="str">
        <f>A11</f>
        <v>MUKS KRÓTKA 4</v>
      </c>
      <c r="C30" s="67">
        <v>11</v>
      </c>
      <c r="D30" s="67" t="s">
        <v>29</v>
      </c>
      <c r="E30" s="67">
        <v>7</v>
      </c>
    </row>
    <row r="31" spans="1:29">
      <c r="A31" s="26" t="str">
        <f t="shared" si="34"/>
        <v>UKS LESZNOWOLA 15</v>
      </c>
      <c r="B31" s="26" t="str">
        <f>A10</f>
        <v>ISKRA WARSZAWA 2</v>
      </c>
      <c r="C31" s="67">
        <v>11</v>
      </c>
      <c r="D31" s="67" t="s">
        <v>29</v>
      </c>
      <c r="E31" s="67">
        <v>4</v>
      </c>
    </row>
    <row r="32" spans="1:29">
      <c r="A32" s="26" t="str">
        <f>A13</f>
        <v>LEN ŻYRARDÓW 8</v>
      </c>
      <c r="B32" s="26" t="str">
        <f>A10</f>
        <v>ISKRA WARSZAWA 2</v>
      </c>
      <c r="C32" s="67">
        <v>11</v>
      </c>
      <c r="D32" s="67" t="s">
        <v>29</v>
      </c>
      <c r="E32" s="67">
        <v>10</v>
      </c>
    </row>
    <row r="33" spans="1:5">
      <c r="A33" s="26" t="str">
        <f>A12</f>
        <v>OLIMP MIŃSK MAZ. 13</v>
      </c>
      <c r="B33" s="26" t="str">
        <f>A8</f>
        <v>METRO WARSZAWA 6</v>
      </c>
      <c r="C33" s="67">
        <v>8</v>
      </c>
      <c r="D33" s="67" t="s">
        <v>29</v>
      </c>
      <c r="E33" s="67">
        <v>11</v>
      </c>
    </row>
    <row r="34" spans="1:5">
      <c r="A34" s="26" t="str">
        <f>A11</f>
        <v>MUKS KRÓTKA 4</v>
      </c>
      <c r="B34" s="26" t="str">
        <f>A9</f>
        <v>UKS LESZNOWOLA 15</v>
      </c>
      <c r="C34" s="67">
        <v>5</v>
      </c>
      <c r="D34" s="67" t="s">
        <v>29</v>
      </c>
      <c r="E34" s="67">
        <v>11</v>
      </c>
    </row>
    <row r="35" spans="1:5">
      <c r="A35" s="26" t="str">
        <f t="shared" ref="A35:A41" si="35">A4</f>
        <v>GLKS NADARZYN 2</v>
      </c>
      <c r="B35" s="26" t="str">
        <f>A7</f>
        <v>UKS LESZNOWOLA 19</v>
      </c>
      <c r="C35" s="67">
        <v>7</v>
      </c>
      <c r="D35" s="67" t="s">
        <v>29</v>
      </c>
      <c r="E35" s="67">
        <v>11</v>
      </c>
    </row>
    <row r="36" spans="1:5">
      <c r="A36" s="26" t="str">
        <f t="shared" si="35"/>
        <v>OLIMP MIŃSK MAZ. 9</v>
      </c>
      <c r="B36" s="26" t="str">
        <f>A6</f>
        <v>ORLĘTA RASZYN 1</v>
      </c>
      <c r="C36" s="67">
        <v>3</v>
      </c>
      <c r="D36" s="67" t="s">
        <v>29</v>
      </c>
      <c r="E36" s="67">
        <v>11</v>
      </c>
    </row>
    <row r="37" spans="1:5">
      <c r="A37" s="26" t="str">
        <f t="shared" si="35"/>
        <v>ORLĘTA RASZYN 1</v>
      </c>
      <c r="B37" s="26" t="str">
        <f>A13</f>
        <v>LEN ŻYRARDÓW 8</v>
      </c>
      <c r="C37" s="67">
        <v>5</v>
      </c>
      <c r="D37" s="67" t="s">
        <v>29</v>
      </c>
      <c r="E37" s="67">
        <v>11</v>
      </c>
    </row>
    <row r="38" spans="1:5">
      <c r="A38" s="26" t="str">
        <f t="shared" si="35"/>
        <v>UKS LESZNOWOLA 19</v>
      </c>
      <c r="B38" s="26" t="str">
        <f>A5</f>
        <v>OLIMP MIŃSK MAZ. 9</v>
      </c>
      <c r="C38" s="67">
        <v>11</v>
      </c>
      <c r="D38" s="67" t="s">
        <v>29</v>
      </c>
      <c r="E38" s="67">
        <v>6</v>
      </c>
    </row>
    <row r="39" spans="1:5">
      <c r="A39" s="26" t="str">
        <f t="shared" si="35"/>
        <v>METRO WARSZAWA 6</v>
      </c>
      <c r="B39" s="26" t="str">
        <f>A4</f>
        <v>GLKS NADARZYN 2</v>
      </c>
      <c r="C39" s="67">
        <v>11</v>
      </c>
      <c r="D39" s="67" t="s">
        <v>29</v>
      </c>
      <c r="E39" s="67">
        <v>2</v>
      </c>
    </row>
    <row r="40" spans="1:5">
      <c r="A40" s="26" t="str">
        <f t="shared" si="35"/>
        <v>UKS LESZNOWOLA 15</v>
      </c>
      <c r="B40" s="26" t="str">
        <f>A12</f>
        <v>OLIMP MIŃSK MAZ. 13</v>
      </c>
      <c r="C40" s="67">
        <v>11</v>
      </c>
      <c r="D40" s="67" t="s">
        <v>29</v>
      </c>
      <c r="E40" s="67">
        <v>3</v>
      </c>
    </row>
    <row r="41" spans="1:5">
      <c r="A41" s="26" t="str">
        <f t="shared" si="35"/>
        <v>ISKRA WARSZAWA 2</v>
      </c>
      <c r="B41" s="26" t="str">
        <f>A11</f>
        <v>MUKS KRÓTKA 4</v>
      </c>
      <c r="C41" s="67">
        <v>11</v>
      </c>
      <c r="D41" s="67" t="s">
        <v>29</v>
      </c>
      <c r="E41" s="67">
        <v>9</v>
      </c>
    </row>
    <row r="42" spans="1:5">
      <c r="A42" s="26" t="str">
        <f>A13</f>
        <v>LEN ŻYRARDÓW 8</v>
      </c>
      <c r="B42" s="26" t="str">
        <f>A11</f>
        <v>MUKS KRÓTKA 4</v>
      </c>
      <c r="C42" s="67">
        <v>11</v>
      </c>
      <c r="D42" s="67" t="s">
        <v>29</v>
      </c>
      <c r="E42" s="67">
        <v>8</v>
      </c>
    </row>
    <row r="43" spans="1:5">
      <c r="A43" s="26" t="str">
        <f>A12</f>
        <v>OLIMP MIŃSK MAZ. 13</v>
      </c>
      <c r="B43" s="26" t="str">
        <f>A10</f>
        <v>ISKRA WARSZAWA 2</v>
      </c>
      <c r="C43" s="67">
        <v>4</v>
      </c>
      <c r="D43" s="67" t="s">
        <v>29</v>
      </c>
      <c r="E43" s="67">
        <v>11</v>
      </c>
    </row>
    <row r="44" spans="1:5">
      <c r="A44" s="26" t="str">
        <f t="shared" ref="A44:A51" si="36">A4</f>
        <v>GLKS NADARZYN 2</v>
      </c>
      <c r="B44" s="26" t="str">
        <f>A9</f>
        <v>UKS LESZNOWOLA 15</v>
      </c>
      <c r="C44" s="67">
        <v>1</v>
      </c>
      <c r="D44" s="67" t="s">
        <v>29</v>
      </c>
      <c r="E44" s="67">
        <v>11</v>
      </c>
    </row>
    <row r="45" spans="1:5">
      <c r="A45" s="26" t="str">
        <f t="shared" si="36"/>
        <v>OLIMP MIŃSK MAZ. 9</v>
      </c>
      <c r="B45" s="26" t="str">
        <f>A8</f>
        <v>METRO WARSZAWA 6</v>
      </c>
      <c r="C45" s="67">
        <v>8</v>
      </c>
      <c r="D45" s="67" t="s">
        <v>29</v>
      </c>
      <c r="E45" s="67">
        <v>11</v>
      </c>
    </row>
    <row r="46" spans="1:5">
      <c r="A46" s="26" t="str">
        <f t="shared" si="36"/>
        <v>ORLĘTA RASZYN 1</v>
      </c>
      <c r="B46" s="26" t="str">
        <f>A7</f>
        <v>UKS LESZNOWOLA 19</v>
      </c>
      <c r="C46" s="67">
        <v>8</v>
      </c>
      <c r="D46" s="67" t="s">
        <v>29</v>
      </c>
      <c r="E46" s="67">
        <v>11</v>
      </c>
    </row>
    <row r="47" spans="1:5">
      <c r="A47" s="26" t="str">
        <f t="shared" si="36"/>
        <v>UKS LESZNOWOLA 19</v>
      </c>
      <c r="B47" s="26" t="str">
        <f>A13</f>
        <v>LEN ŻYRARDÓW 8</v>
      </c>
      <c r="C47" s="67">
        <v>8</v>
      </c>
      <c r="D47" s="67" t="s">
        <v>29</v>
      </c>
      <c r="E47" s="67">
        <v>11</v>
      </c>
    </row>
    <row r="48" spans="1:5">
      <c r="A48" s="26" t="str">
        <f t="shared" si="36"/>
        <v>METRO WARSZAWA 6</v>
      </c>
      <c r="B48" s="26" t="str">
        <f>A6</f>
        <v>ORLĘTA RASZYN 1</v>
      </c>
      <c r="C48" s="67">
        <v>10</v>
      </c>
      <c r="D48" s="67" t="s">
        <v>29</v>
      </c>
      <c r="E48" s="67">
        <v>11</v>
      </c>
    </row>
    <row r="49" spans="1:5">
      <c r="A49" s="26" t="str">
        <f t="shared" si="36"/>
        <v>UKS LESZNOWOLA 15</v>
      </c>
      <c r="B49" s="26" t="str">
        <f>A5</f>
        <v>OLIMP MIŃSK MAZ. 9</v>
      </c>
      <c r="C49" s="67">
        <v>11</v>
      </c>
      <c r="D49" s="67" t="s">
        <v>29</v>
      </c>
      <c r="E49" s="67">
        <v>2</v>
      </c>
    </row>
    <row r="50" spans="1:5">
      <c r="A50" s="26" t="str">
        <f t="shared" si="36"/>
        <v>ISKRA WARSZAWA 2</v>
      </c>
      <c r="B50" s="26" t="str">
        <f>A4</f>
        <v>GLKS NADARZYN 2</v>
      </c>
      <c r="C50" s="67">
        <v>11</v>
      </c>
      <c r="D50" s="67" t="s">
        <v>29</v>
      </c>
      <c r="E50" s="67">
        <v>3</v>
      </c>
    </row>
    <row r="51" spans="1:5">
      <c r="A51" s="26" t="str">
        <f t="shared" si="36"/>
        <v>MUKS KRÓTKA 4</v>
      </c>
      <c r="B51" s="26" t="str">
        <f>A12</f>
        <v>OLIMP MIŃSK MAZ. 13</v>
      </c>
      <c r="C51" s="67">
        <v>11</v>
      </c>
      <c r="D51" s="67" t="s">
        <v>29</v>
      </c>
      <c r="E51" s="67">
        <v>6</v>
      </c>
    </row>
    <row r="52" spans="1:5">
      <c r="A52" s="26" t="str">
        <f>A13</f>
        <v>LEN ŻYRARDÓW 8</v>
      </c>
      <c r="B52" s="26" t="str">
        <f>A12</f>
        <v>OLIMP MIŃSK MAZ. 13</v>
      </c>
      <c r="C52" s="67">
        <v>11</v>
      </c>
      <c r="D52" s="67" t="s">
        <v>29</v>
      </c>
      <c r="E52" s="67">
        <v>6</v>
      </c>
    </row>
    <row r="53" spans="1:5">
      <c r="A53" s="26" t="str">
        <f t="shared" ref="A53:A61" si="37">A4</f>
        <v>GLKS NADARZYN 2</v>
      </c>
      <c r="B53" s="26" t="str">
        <f>A11</f>
        <v>MUKS KRÓTKA 4</v>
      </c>
      <c r="C53" s="67">
        <v>11</v>
      </c>
      <c r="D53" s="67" t="s">
        <v>29</v>
      </c>
      <c r="E53" s="67">
        <v>6</v>
      </c>
    </row>
    <row r="54" spans="1:5">
      <c r="A54" s="26" t="str">
        <f t="shared" si="37"/>
        <v>OLIMP MIŃSK MAZ. 9</v>
      </c>
      <c r="B54" s="26" t="str">
        <f>A10</f>
        <v>ISKRA WARSZAWA 2</v>
      </c>
      <c r="C54" s="67">
        <v>6</v>
      </c>
      <c r="D54" s="67" t="s">
        <v>29</v>
      </c>
      <c r="E54" s="67">
        <v>11</v>
      </c>
    </row>
    <row r="55" spans="1:5">
      <c r="A55" s="26" t="str">
        <f t="shared" si="37"/>
        <v>ORLĘTA RASZYN 1</v>
      </c>
      <c r="B55" s="26" t="str">
        <f>A9</f>
        <v>UKS LESZNOWOLA 15</v>
      </c>
      <c r="C55" s="67">
        <v>9</v>
      </c>
      <c r="D55" s="67" t="s">
        <v>29</v>
      </c>
      <c r="E55" s="67">
        <v>11</v>
      </c>
    </row>
    <row r="56" spans="1:5">
      <c r="A56" s="26" t="str">
        <f t="shared" si="37"/>
        <v>UKS LESZNOWOLA 19</v>
      </c>
      <c r="B56" s="26" t="str">
        <f>A8</f>
        <v>METRO WARSZAWA 6</v>
      </c>
      <c r="C56" s="67">
        <v>11</v>
      </c>
      <c r="D56" s="67" t="s">
        <v>29</v>
      </c>
      <c r="E56" s="67">
        <v>9</v>
      </c>
    </row>
    <row r="57" spans="1:5">
      <c r="A57" s="26" t="str">
        <f t="shared" si="37"/>
        <v>METRO WARSZAWA 6</v>
      </c>
      <c r="B57" s="26" t="str">
        <f>A13</f>
        <v>LEN ŻYRARDÓW 8</v>
      </c>
      <c r="C57" s="67">
        <v>9</v>
      </c>
      <c r="D57" s="67" t="s">
        <v>29</v>
      </c>
      <c r="E57" s="67">
        <v>11</v>
      </c>
    </row>
    <row r="58" spans="1:5">
      <c r="A58" s="26" t="str">
        <f t="shared" si="37"/>
        <v>UKS LESZNOWOLA 15</v>
      </c>
      <c r="B58" s="26" t="str">
        <f>A7</f>
        <v>UKS LESZNOWOLA 19</v>
      </c>
      <c r="C58" s="67">
        <v>11</v>
      </c>
      <c r="D58" s="67" t="s">
        <v>29</v>
      </c>
      <c r="E58" s="67">
        <v>8</v>
      </c>
    </row>
    <row r="59" spans="1:5">
      <c r="A59" s="26" t="str">
        <f t="shared" si="37"/>
        <v>ISKRA WARSZAWA 2</v>
      </c>
      <c r="B59" s="26" t="str">
        <f>A6</f>
        <v>ORLĘTA RASZYN 1</v>
      </c>
      <c r="C59" s="67">
        <v>11</v>
      </c>
      <c r="D59" s="67" t="s">
        <v>29</v>
      </c>
      <c r="E59" s="67">
        <v>7</v>
      </c>
    </row>
    <row r="60" spans="1:5">
      <c r="A60" s="26" t="str">
        <f t="shared" si="37"/>
        <v>MUKS KRÓTKA 4</v>
      </c>
      <c r="B60" s="26" t="str">
        <f>A5</f>
        <v>OLIMP MIŃSK MAZ. 9</v>
      </c>
      <c r="C60" s="67">
        <v>0</v>
      </c>
      <c r="D60" s="67" t="s">
        <v>29</v>
      </c>
      <c r="E60" s="67">
        <v>11</v>
      </c>
    </row>
    <row r="61" spans="1:5">
      <c r="A61" s="26" t="str">
        <f t="shared" si="37"/>
        <v>OLIMP MIŃSK MAZ. 13</v>
      </c>
      <c r="B61" s="26" t="str">
        <f>A4</f>
        <v>GLKS NADARZYN 2</v>
      </c>
      <c r="C61" s="67">
        <v>9</v>
      </c>
      <c r="D61" s="67" t="s">
        <v>29</v>
      </c>
      <c r="E61" s="67">
        <v>11</v>
      </c>
    </row>
  </sheetData>
  <autoFilter ref="A16:B6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EFDB-F2D0-4F40-AC43-47D7B9E4BC0D}">
  <sheetPr>
    <pageSetUpPr fitToPage="1"/>
  </sheetPr>
  <dimension ref="A1:AC61"/>
  <sheetViews>
    <sheetView topLeftCell="H1" workbookViewId="0"/>
  </sheetViews>
  <sheetFormatPr defaultColWidth="8.85546875" defaultRowHeight="15"/>
  <cols>
    <col min="1" max="2" width="21" style="56" bestFit="1" customWidth="1"/>
    <col min="3" max="5" width="3.85546875" style="56" customWidth="1"/>
    <col min="6" max="6" width="8.28515625" style="56" customWidth="1"/>
    <col min="7" max="7" width="8.28515625" style="57" customWidth="1"/>
    <col min="8" max="8" width="15.7109375" style="57" customWidth="1"/>
    <col min="9" max="9" width="11.7109375" style="57" customWidth="1"/>
    <col min="10" max="16" width="11.7109375" style="56" customWidth="1"/>
    <col min="17" max="17" width="11.42578125" style="56" customWidth="1"/>
    <col min="18" max="18" width="8.85546875" style="56" customWidth="1"/>
    <col min="19" max="19" width="12.7109375" style="56" customWidth="1"/>
    <col min="20" max="26" width="9.140625" style="56" customWidth="1"/>
    <col min="27" max="27" width="7" style="56" customWidth="1"/>
    <col min="28" max="28" width="12.42578125" style="56" customWidth="1"/>
    <col min="29" max="29" width="8.85546875" style="56" customWidth="1"/>
    <col min="30" max="16384" width="8.85546875" style="56"/>
  </cols>
  <sheetData>
    <row r="1" spans="1:29" ht="28.5">
      <c r="A1" s="55" t="s">
        <v>122</v>
      </c>
      <c r="S1" s="56" t="s">
        <v>1</v>
      </c>
      <c r="T1" s="56" t="b">
        <f>ROWS(homescore)-COUNT(homescore)=0</f>
        <v>1</v>
      </c>
    </row>
    <row r="2" spans="1:29">
      <c r="H2" s="58" t="s">
        <v>3</v>
      </c>
      <c r="I2" s="59" t="s">
        <v>4</v>
      </c>
      <c r="J2" s="59" t="s">
        <v>5</v>
      </c>
      <c r="K2" s="59" t="s">
        <v>6</v>
      </c>
      <c r="L2" s="59" t="s">
        <v>7</v>
      </c>
      <c r="M2" s="59" t="s">
        <v>8</v>
      </c>
      <c r="N2" s="59" t="s">
        <v>9</v>
      </c>
      <c r="O2" s="60" t="s">
        <v>10</v>
      </c>
      <c r="P2" s="60" t="s">
        <v>11</v>
      </c>
      <c r="T2" s="61" t="s">
        <v>4</v>
      </c>
      <c r="U2" s="62" t="s">
        <v>12</v>
      </c>
      <c r="V2" s="62" t="s">
        <v>13</v>
      </c>
      <c r="W2" s="63" t="s">
        <v>14</v>
      </c>
      <c r="X2" s="58" t="s">
        <v>15</v>
      </c>
      <c r="Y2" s="62" t="s">
        <v>16</v>
      </c>
      <c r="Z2" s="64" t="s">
        <v>17</v>
      </c>
      <c r="AA2" s="63" t="s">
        <v>13</v>
      </c>
      <c r="AB2" s="63" t="s">
        <v>18</v>
      </c>
      <c r="AC2" s="56" t="s">
        <v>100</v>
      </c>
    </row>
    <row r="3" spans="1:29">
      <c r="A3" s="65" t="s">
        <v>3</v>
      </c>
      <c r="B3" s="66"/>
      <c r="H3" s="67" t="str">
        <f>_xlfn.XLOOKUP(1,$AC$3:$AC$12,$S$3:$S$12)</f>
        <v>VICTORIA LUBOWIDZ 4</v>
      </c>
      <c r="I3" s="67">
        <f t="shared" ref="I3:I12" si="0">VLOOKUP($H3,$S$3:$AA$12,2,0)</f>
        <v>9</v>
      </c>
      <c r="J3" s="67">
        <f t="shared" ref="J3:J12" si="1">VLOOKUP($H3,$S$3:$AA$12,3,0)</f>
        <v>9</v>
      </c>
      <c r="K3" s="67">
        <f t="shared" ref="K3:K12" si="2">VLOOKUP($H3,$S$3:$AA$12,4,0)</f>
        <v>0</v>
      </c>
      <c r="L3" s="67">
        <f t="shared" ref="L3:L12" si="3">VLOOKUP($H3,$S$3:$AA$12,5,0)</f>
        <v>99</v>
      </c>
      <c r="M3" s="67">
        <f t="shared" ref="M3:M12" si="4">VLOOKUP($H3,$S$3:$AA$12,6,0)</f>
        <v>21</v>
      </c>
      <c r="N3" s="67">
        <f t="shared" ref="N3:N12" si="5">VLOOKUP($H3,$S$3:$AA$12,7,0)</f>
        <v>78</v>
      </c>
      <c r="O3" s="68">
        <f>IF(Tabela1101112[[#This Row],[STRACONE]]=0,0,Tabela1101112[[#This Row],[ZDOBYTE]]/Tabela1101112[[#This Row],[STRACONE]])</f>
        <v>4.7142857142857144</v>
      </c>
      <c r="P3" s="69">
        <f t="shared" ref="P3:P12" si="6">VLOOKUP($H3,$S$3:$AB$12,9,0)</f>
        <v>18</v>
      </c>
      <c r="S3" s="70" t="str">
        <f t="shared" ref="S3:S10" si="7">A4</f>
        <v>VICTORIA LUBOWIDZ 4</v>
      </c>
      <c r="T3" s="71">
        <f t="array" ref="T3">SUM((home=S3)*(ISNUMBER(homescore)),(visitor=S3)*(ISNUMBER(visitorscore)))</f>
        <v>9</v>
      </c>
      <c r="U3" s="57">
        <f t="array" ref="U3">SUM((home=S3)*(homescore&gt;visitorscore),(visitor=S3)*(visitorscore&gt;homescore))</f>
        <v>9</v>
      </c>
      <c r="V3" s="57">
        <f t="array" ref="V3">SUM((home=S3)*(homescore&lt;visitorscore),(visitor=S3)*(visitorscore&lt;homescore))</f>
        <v>0</v>
      </c>
      <c r="W3" s="72">
        <f t="shared" ref="W3" si="8">SUMIF(home,S3,homescore)+SUMIF(visitor,S3,visitorscore)</f>
        <v>99</v>
      </c>
      <c r="X3" s="73">
        <f t="shared" ref="X3" si="9">SUMIF(home,S3,visitorscore)+SUMIF(visitor,S3,homescore)</f>
        <v>21</v>
      </c>
      <c r="Y3" s="57">
        <f>W3-X3</f>
        <v>78</v>
      </c>
      <c r="Z3" s="74">
        <f>IF(X3&gt;0,W3/X3,0)</f>
        <v>4.7142857142857144</v>
      </c>
      <c r="AA3" s="72">
        <f>2*U3</f>
        <v>18</v>
      </c>
      <c r="AB3" s="75">
        <f>W3+Z3*1000+Y3*10000+AA3*100000000</f>
        <v>1800784813.2857144</v>
      </c>
      <c r="AC3" s="56">
        <f>RANK(AB3,$AB$3:$AB$12)</f>
        <v>1</v>
      </c>
    </row>
    <row r="4" spans="1:29">
      <c r="A4" s="79" t="s">
        <v>123</v>
      </c>
      <c r="H4" s="67" t="str">
        <f>_xlfn.XLOOKUP(2,$AC$3:$AC$12,$S$3:$S$12)</f>
        <v>RAS SZYDŁOWIEC 1</v>
      </c>
      <c r="I4" s="67">
        <f t="shared" si="0"/>
        <v>9</v>
      </c>
      <c r="J4" s="67">
        <f t="shared" si="1"/>
        <v>8</v>
      </c>
      <c r="K4" s="67">
        <f t="shared" si="2"/>
        <v>1</v>
      </c>
      <c r="L4" s="67">
        <f t="shared" si="3"/>
        <v>91</v>
      </c>
      <c r="M4" s="67">
        <f t="shared" si="4"/>
        <v>41</v>
      </c>
      <c r="N4" s="67">
        <f t="shared" si="5"/>
        <v>50</v>
      </c>
      <c r="O4" s="68">
        <f>IF(Tabela1101112[[#This Row],[STRACONE]]=0,0,Tabela1101112[[#This Row],[ZDOBYTE]]/Tabela1101112[[#This Row],[STRACONE]])</f>
        <v>2.2195121951219514</v>
      </c>
      <c r="P4" s="69">
        <f t="shared" si="6"/>
        <v>16</v>
      </c>
      <c r="S4" s="76" t="str">
        <f t="shared" si="7"/>
        <v>GLKS NADARZYN 12</v>
      </c>
      <c r="T4" s="71">
        <f t="array" ref="T4">SUM((home=S4)*(ISNUMBER(homescore)),(visitor=S4)*(ISNUMBER(visitorscore)))</f>
        <v>9</v>
      </c>
      <c r="U4" s="57">
        <f t="array" ref="U4">SUM((home=S4)*(homescore&gt;visitorscore),(visitor=S4)*(visitorscore&gt;homescore))</f>
        <v>5</v>
      </c>
      <c r="V4" s="57">
        <f t="array" ref="V4">SUM((home=S4)*(homescore&lt;visitorscore),(visitor=S4)*(visitorscore&lt;homescore))</f>
        <v>4</v>
      </c>
      <c r="W4" s="72">
        <f t="shared" ref="W4" si="10">SUMIF(home,S4,homescore)+SUMIF(visitor,S4,visitorscore)</f>
        <v>78</v>
      </c>
      <c r="X4" s="73">
        <f t="shared" ref="X4" si="11">SUMIF(home,S4,visitorscore)+SUMIF(visitor,S4,homescore)</f>
        <v>50</v>
      </c>
      <c r="Y4" s="57">
        <f t="shared" ref="Y4:Y11" si="12">W4-X4</f>
        <v>28</v>
      </c>
      <c r="Z4" s="74">
        <f t="shared" ref="Z4:Z11" si="13">IF(X4&gt;0,W4/X4,0)</f>
        <v>1.56</v>
      </c>
      <c r="AA4" s="72">
        <f t="shared" ref="AA4:AA11" si="14">2*U4</f>
        <v>10</v>
      </c>
      <c r="AB4" s="75">
        <f t="shared" ref="AB4:AB11" si="15">W4+Z4*1000+Y4*10000+AA4*100000000</f>
        <v>1000281638</v>
      </c>
      <c r="AC4" s="56">
        <f t="shared" ref="AC4:AC12" si="16">RANK(AB4,$AB$3:$AB$12)</f>
        <v>5</v>
      </c>
    </row>
    <row r="5" spans="1:29">
      <c r="A5" s="79" t="s">
        <v>124</v>
      </c>
      <c r="H5" s="67" t="str">
        <f>_xlfn.XLOOKUP(3,$AC$3:$AC$12,$S$3:$S$12)</f>
        <v>ORLĘTA RASZYN 14</v>
      </c>
      <c r="I5" s="67">
        <f t="shared" si="0"/>
        <v>9</v>
      </c>
      <c r="J5" s="67">
        <f t="shared" si="1"/>
        <v>6</v>
      </c>
      <c r="K5" s="67">
        <f t="shared" si="2"/>
        <v>3</v>
      </c>
      <c r="L5" s="67">
        <f t="shared" si="3"/>
        <v>86</v>
      </c>
      <c r="M5" s="67">
        <f t="shared" si="4"/>
        <v>46</v>
      </c>
      <c r="N5" s="67">
        <f t="shared" si="5"/>
        <v>40</v>
      </c>
      <c r="O5" s="68">
        <f>IF(Tabela1101112[[#This Row],[STRACONE]]=0,0,Tabela1101112[[#This Row],[ZDOBYTE]]/Tabela1101112[[#This Row],[STRACONE]])</f>
        <v>1.8695652173913044</v>
      </c>
      <c r="P5" s="69">
        <f t="shared" si="6"/>
        <v>12</v>
      </c>
      <c r="S5" s="76" t="str">
        <f t="shared" si="7"/>
        <v>RAS SZYDŁOWIEC 3</v>
      </c>
      <c r="T5" s="71">
        <f t="array" ref="T5">SUM((home=S5)*(ISNUMBER(homescore)),(visitor=S5)*(ISNUMBER(visitorscore)))</f>
        <v>9</v>
      </c>
      <c r="U5" s="57">
        <f t="array" ref="U5">SUM((home=S5)*(homescore&gt;visitorscore),(visitor=S5)*(visitorscore&gt;homescore))</f>
        <v>0</v>
      </c>
      <c r="V5" s="57">
        <f t="array" ref="V5">SUM((home=S5)*(homescore&lt;visitorscore),(visitor=S5)*(visitorscore&lt;homescore))</f>
        <v>7</v>
      </c>
      <c r="W5" s="72">
        <f t="shared" ref="W5" si="17">SUMIF(home,S5,homescore)+SUMIF(visitor,S5,visitorscore)</f>
        <v>0</v>
      </c>
      <c r="X5" s="73">
        <f t="shared" ref="X5" si="18">SUMIF(home,S5,visitorscore)+SUMIF(visitor,S5,homescore)</f>
        <v>77</v>
      </c>
      <c r="Y5" s="57">
        <f t="shared" si="12"/>
        <v>-77</v>
      </c>
      <c r="Z5" s="74">
        <f t="shared" si="13"/>
        <v>0</v>
      </c>
      <c r="AA5" s="72">
        <f t="shared" si="14"/>
        <v>0</v>
      </c>
      <c r="AB5" s="75">
        <f t="shared" si="15"/>
        <v>-770000</v>
      </c>
      <c r="AC5" s="56">
        <f t="shared" si="16"/>
        <v>10</v>
      </c>
    </row>
    <row r="6" spans="1:29">
      <c r="A6" s="81" t="s">
        <v>125</v>
      </c>
      <c r="H6" s="67" t="str">
        <f>_xlfn.XLOOKUP(4,$AC$3:$AC$12,$S$3:$S$12)</f>
        <v>UKS LESZNOWOLA 18</v>
      </c>
      <c r="I6" s="67">
        <f t="shared" si="0"/>
        <v>9</v>
      </c>
      <c r="J6" s="67">
        <f t="shared" si="1"/>
        <v>6</v>
      </c>
      <c r="K6" s="67">
        <f t="shared" si="2"/>
        <v>3</v>
      </c>
      <c r="L6" s="67">
        <f t="shared" si="3"/>
        <v>84</v>
      </c>
      <c r="M6" s="67">
        <f t="shared" si="4"/>
        <v>50</v>
      </c>
      <c r="N6" s="67">
        <f t="shared" si="5"/>
        <v>34</v>
      </c>
      <c r="O6" s="68">
        <f>IF(Tabela1101112[[#This Row],[STRACONE]]=0,0,Tabela1101112[[#This Row],[ZDOBYTE]]/Tabela1101112[[#This Row],[STRACONE]])</f>
        <v>1.68</v>
      </c>
      <c r="P6" s="69">
        <f t="shared" si="6"/>
        <v>12</v>
      </c>
      <c r="S6" s="76" t="str">
        <f t="shared" si="7"/>
        <v>LEN ŻYRARDÓW 13</v>
      </c>
      <c r="T6" s="71">
        <f t="array" ref="T6">SUM((home=S6)*(ISNUMBER(homescore)),(visitor=S6)*(ISNUMBER(visitorscore)))</f>
        <v>9</v>
      </c>
      <c r="U6" s="57">
        <f t="array" ref="U6">SUM((home=S6)*(homescore&gt;visitorscore),(visitor=S6)*(visitorscore&gt;homescore))</f>
        <v>0</v>
      </c>
      <c r="V6" s="57">
        <f t="array" ref="V6">SUM((home=S6)*(homescore&lt;visitorscore),(visitor=S6)*(visitorscore&lt;homescore))</f>
        <v>7</v>
      </c>
      <c r="W6" s="72">
        <f t="shared" ref="W6" si="19">SUMIF(home,S6,homescore)+SUMIF(visitor,S6,visitorscore)</f>
        <v>0</v>
      </c>
      <c r="X6" s="73">
        <f t="shared" ref="X6" si="20">SUMIF(home,S6,visitorscore)+SUMIF(visitor,S6,homescore)</f>
        <v>77</v>
      </c>
      <c r="Y6" s="57">
        <f t="shared" si="12"/>
        <v>-77</v>
      </c>
      <c r="Z6" s="74">
        <f t="shared" si="13"/>
        <v>0</v>
      </c>
      <c r="AA6" s="72">
        <f t="shared" si="14"/>
        <v>0</v>
      </c>
      <c r="AB6" s="75">
        <f>W6+Z6*1000+Y6*10000+AA6*100000000+1</f>
        <v>-769999</v>
      </c>
      <c r="AC6" s="56">
        <f t="shared" si="16"/>
        <v>9</v>
      </c>
    </row>
    <row r="7" spans="1:29">
      <c r="A7" s="81" t="s">
        <v>126</v>
      </c>
      <c r="H7" s="67" t="str">
        <f>_xlfn.XLOOKUP(5,$AC$3:$AC$12,$S$3:$S$12)</f>
        <v>GLKS NADARZYN 12</v>
      </c>
      <c r="I7" s="67">
        <f t="shared" si="0"/>
        <v>9</v>
      </c>
      <c r="J7" s="67">
        <f t="shared" si="1"/>
        <v>5</v>
      </c>
      <c r="K7" s="67">
        <f t="shared" si="2"/>
        <v>4</v>
      </c>
      <c r="L7" s="67">
        <f t="shared" si="3"/>
        <v>78</v>
      </c>
      <c r="M7" s="67">
        <f t="shared" si="4"/>
        <v>50</v>
      </c>
      <c r="N7" s="67">
        <f t="shared" si="5"/>
        <v>28</v>
      </c>
      <c r="O7" s="68">
        <f>IF(Tabela1101112[[#This Row],[STRACONE]]=0,0,Tabela1101112[[#This Row],[ZDOBYTE]]/Tabela1101112[[#This Row],[STRACONE]])</f>
        <v>1.56</v>
      </c>
      <c r="P7" s="69">
        <f t="shared" si="6"/>
        <v>10</v>
      </c>
      <c r="S7" s="76" t="str">
        <f t="shared" si="7"/>
        <v>RAS SZYDŁOWIEC 1</v>
      </c>
      <c r="T7" s="71">
        <f t="array" ref="T7">SUM((home=S7)*(ISNUMBER(homescore)),(visitor=S7)*(ISNUMBER(visitorscore)))</f>
        <v>9</v>
      </c>
      <c r="U7" s="57">
        <f t="array" ref="U7">SUM((home=S7)*(homescore&gt;visitorscore),(visitor=S7)*(visitorscore&gt;homescore))</f>
        <v>8</v>
      </c>
      <c r="V7" s="57">
        <f t="array" ref="V7">SUM((home=S7)*(homescore&lt;visitorscore),(visitor=S7)*(visitorscore&lt;homescore))</f>
        <v>1</v>
      </c>
      <c r="W7" s="72">
        <f t="shared" ref="W7" si="21">SUMIF(home,S7,homescore)+SUMIF(visitor,S7,visitorscore)</f>
        <v>91</v>
      </c>
      <c r="X7" s="73">
        <f t="shared" ref="X7" si="22">SUMIF(home,S7,visitorscore)+SUMIF(visitor,S7,homescore)</f>
        <v>41</v>
      </c>
      <c r="Y7" s="57">
        <f t="shared" si="12"/>
        <v>50</v>
      </c>
      <c r="Z7" s="74">
        <f t="shared" si="13"/>
        <v>2.2195121951219514</v>
      </c>
      <c r="AA7" s="72">
        <f t="shared" si="14"/>
        <v>16</v>
      </c>
      <c r="AB7" s="75">
        <f t="shared" si="15"/>
        <v>1600502310.5121951</v>
      </c>
      <c r="AC7" s="56">
        <f t="shared" si="16"/>
        <v>2</v>
      </c>
    </row>
    <row r="8" spans="1:29">
      <c r="A8" s="79" t="s">
        <v>127</v>
      </c>
      <c r="H8" s="67" t="str">
        <f>_xlfn.XLOOKUP(6,$AC$3:$AC$12,$S$3:$S$12)</f>
        <v>LEN ŻYRARDÓW 9</v>
      </c>
      <c r="I8" s="67">
        <f t="shared" si="0"/>
        <v>9</v>
      </c>
      <c r="J8" s="67">
        <f t="shared" si="1"/>
        <v>5</v>
      </c>
      <c r="K8" s="67">
        <f t="shared" si="2"/>
        <v>4</v>
      </c>
      <c r="L8" s="67">
        <f t="shared" si="3"/>
        <v>80</v>
      </c>
      <c r="M8" s="67">
        <f t="shared" si="4"/>
        <v>53</v>
      </c>
      <c r="N8" s="67">
        <f t="shared" si="5"/>
        <v>27</v>
      </c>
      <c r="O8" s="68">
        <f>IF(Tabela1101112[[#This Row],[STRACONE]]=0,0,Tabela1101112[[#This Row],[ZDOBYTE]]/Tabela1101112[[#This Row],[STRACONE]])</f>
        <v>1.5094339622641511</v>
      </c>
      <c r="P8" s="69">
        <f t="shared" si="6"/>
        <v>10</v>
      </c>
      <c r="S8" s="76" t="str">
        <f t="shared" si="7"/>
        <v>ORLĘTA RASZYN 14</v>
      </c>
      <c r="T8" s="71">
        <f t="array" ref="T8">SUM((home=S8)*(ISNUMBER(homescore)),(visitor=S8)*(ISNUMBER(visitorscore)))</f>
        <v>9</v>
      </c>
      <c r="U8" s="57">
        <f t="array" ref="U8">SUM((home=S8)*(homescore&gt;visitorscore),(visitor=S8)*(visitorscore&gt;homescore))</f>
        <v>6</v>
      </c>
      <c r="V8" s="57">
        <f t="array" ref="V8">SUM((home=S8)*(homescore&lt;visitorscore),(visitor=S8)*(visitorscore&lt;homescore))</f>
        <v>3</v>
      </c>
      <c r="W8" s="72">
        <f t="shared" ref="W8" si="23">SUMIF(home,S8,homescore)+SUMIF(visitor,S8,visitorscore)</f>
        <v>86</v>
      </c>
      <c r="X8" s="73">
        <f t="shared" ref="X8" si="24">SUMIF(home,S8,visitorscore)+SUMIF(visitor,S8,homescore)</f>
        <v>46</v>
      </c>
      <c r="Y8" s="57">
        <f t="shared" si="12"/>
        <v>40</v>
      </c>
      <c r="Z8" s="74">
        <f t="shared" si="13"/>
        <v>1.8695652173913044</v>
      </c>
      <c r="AA8" s="72">
        <f t="shared" si="14"/>
        <v>12</v>
      </c>
      <c r="AB8" s="75">
        <f t="shared" si="15"/>
        <v>1200401955.5652175</v>
      </c>
      <c r="AC8" s="56">
        <f t="shared" si="16"/>
        <v>3</v>
      </c>
    </row>
    <row r="9" spans="1:29">
      <c r="A9" s="79" t="s">
        <v>128</v>
      </c>
      <c r="H9" s="67" t="str">
        <f>_xlfn.XLOOKUP(7,$AC$3:$AC$12,$S$3:$S$12)</f>
        <v>LEN ŻYRARDÓW 6</v>
      </c>
      <c r="I9" s="67">
        <f t="shared" si="0"/>
        <v>9</v>
      </c>
      <c r="J9" s="67">
        <f t="shared" si="1"/>
        <v>3</v>
      </c>
      <c r="K9" s="67">
        <f t="shared" si="2"/>
        <v>6</v>
      </c>
      <c r="L9" s="67">
        <f t="shared" si="3"/>
        <v>33</v>
      </c>
      <c r="M9" s="67">
        <f t="shared" si="4"/>
        <v>66</v>
      </c>
      <c r="N9" s="67">
        <f t="shared" si="5"/>
        <v>-33</v>
      </c>
      <c r="O9" s="68">
        <f>IF(Tabela1101112[[#This Row],[STRACONE]]=0,0,Tabela1101112[[#This Row],[ZDOBYTE]]/Tabela1101112[[#This Row],[STRACONE]])</f>
        <v>0.5</v>
      </c>
      <c r="P9" s="69">
        <f t="shared" si="6"/>
        <v>6</v>
      </c>
      <c r="S9" s="76" t="str">
        <f t="shared" si="7"/>
        <v>UKS LESZNOWOLA 18</v>
      </c>
      <c r="T9" s="71">
        <f t="array" ref="T9">SUM((home=S9)*(ISNUMBER(homescore)),(visitor=S9)*(ISNUMBER(visitorscore)))</f>
        <v>9</v>
      </c>
      <c r="U9" s="57">
        <f t="array" ref="U9">SUM((home=S9)*(homescore&gt;visitorscore),(visitor=S9)*(visitorscore&gt;homescore))</f>
        <v>6</v>
      </c>
      <c r="V9" s="57">
        <f t="array" ref="V9">SUM((home=S9)*(homescore&lt;visitorscore),(visitor=S9)*(visitorscore&lt;homescore))</f>
        <v>3</v>
      </c>
      <c r="W9" s="72">
        <f t="shared" ref="W9" si="25">SUMIF(home,S9,homescore)+SUMIF(visitor,S9,visitorscore)</f>
        <v>84</v>
      </c>
      <c r="X9" s="73">
        <f t="shared" ref="X9" si="26">SUMIF(home,S9,visitorscore)+SUMIF(visitor,S9,homescore)</f>
        <v>50</v>
      </c>
      <c r="Y9" s="57">
        <f t="shared" si="12"/>
        <v>34</v>
      </c>
      <c r="Z9" s="74">
        <f t="shared" si="13"/>
        <v>1.68</v>
      </c>
      <c r="AA9" s="72">
        <f t="shared" si="14"/>
        <v>12</v>
      </c>
      <c r="AB9" s="75">
        <f t="shared" si="15"/>
        <v>1200341764</v>
      </c>
      <c r="AC9" s="56">
        <f t="shared" si="16"/>
        <v>4</v>
      </c>
    </row>
    <row r="10" spans="1:29">
      <c r="A10" s="79" t="s">
        <v>129</v>
      </c>
      <c r="H10" s="67" t="str">
        <f>_xlfn.XLOOKUP(8,$AC$3:$AC$12,$S$3:$S$12)</f>
        <v>ORLĘTA RASZYN 141</v>
      </c>
      <c r="I10" s="67">
        <f t="shared" si="0"/>
        <v>9</v>
      </c>
      <c r="J10" s="67">
        <f t="shared" si="1"/>
        <v>0</v>
      </c>
      <c r="K10" s="67">
        <f t="shared" si="2"/>
        <v>7</v>
      </c>
      <c r="L10" s="67">
        <f t="shared" si="3"/>
        <v>7</v>
      </c>
      <c r="M10" s="67">
        <f t="shared" si="4"/>
        <v>77</v>
      </c>
      <c r="N10" s="67">
        <f t="shared" si="5"/>
        <v>-70</v>
      </c>
      <c r="O10" s="68">
        <f>IF(Tabela1101112[[#This Row],[STRACONE]]=0,0,Tabela1101112[[#This Row],[ZDOBYTE]]/Tabela1101112[[#This Row],[STRACONE]])</f>
        <v>9.0909090909090912E-2</v>
      </c>
      <c r="P10" s="69">
        <f t="shared" si="6"/>
        <v>0</v>
      </c>
      <c r="S10" s="76" t="str">
        <f t="shared" si="7"/>
        <v>ORLĘTA RASZYN 141</v>
      </c>
      <c r="T10" s="71">
        <f t="array" ref="T10">SUM((home=S10)*(ISNUMBER(homescore)),(visitor=S10)*(ISNUMBER(visitorscore)))</f>
        <v>9</v>
      </c>
      <c r="U10" s="57">
        <f t="array" ref="U10">SUM((home=S10)*(homescore&gt;visitorscore),(visitor=S10)*(visitorscore&gt;homescore))</f>
        <v>0</v>
      </c>
      <c r="V10" s="57">
        <f t="array" ref="V10">SUM((home=S10)*(homescore&lt;visitorscore),(visitor=S10)*(visitorscore&lt;homescore))</f>
        <v>7</v>
      </c>
      <c r="W10" s="72">
        <f t="shared" ref="W10" si="27">SUMIF(home,S10,homescore)+SUMIF(visitor,S10,visitorscore)</f>
        <v>7</v>
      </c>
      <c r="X10" s="73">
        <f t="shared" ref="X10" si="28">SUMIF(home,S10,visitorscore)+SUMIF(visitor,S10,homescore)</f>
        <v>77</v>
      </c>
      <c r="Y10" s="57">
        <f t="shared" si="12"/>
        <v>-70</v>
      </c>
      <c r="Z10" s="74">
        <f t="shared" si="13"/>
        <v>9.0909090909090912E-2</v>
      </c>
      <c r="AA10" s="72">
        <f t="shared" si="14"/>
        <v>0</v>
      </c>
      <c r="AB10" s="75">
        <f t="shared" si="15"/>
        <v>-699902.09090909094</v>
      </c>
      <c r="AC10" s="56">
        <f t="shared" si="16"/>
        <v>8</v>
      </c>
    </row>
    <row r="11" spans="1:29">
      <c r="A11" s="79" t="s">
        <v>130</v>
      </c>
      <c r="H11" s="67" t="str">
        <f>_xlfn.XLOOKUP(9,$AC$3:$AC$12,$S$3:$S$12)</f>
        <v>LEN ŻYRARDÓW 13</v>
      </c>
      <c r="I11" s="67">
        <f t="shared" si="0"/>
        <v>9</v>
      </c>
      <c r="J11" s="67">
        <f t="shared" si="1"/>
        <v>0</v>
      </c>
      <c r="K11" s="67">
        <f t="shared" si="2"/>
        <v>7</v>
      </c>
      <c r="L11" s="67">
        <f t="shared" si="3"/>
        <v>0</v>
      </c>
      <c r="M11" s="67">
        <f t="shared" si="4"/>
        <v>77</v>
      </c>
      <c r="N11" s="67">
        <f t="shared" si="5"/>
        <v>-77</v>
      </c>
      <c r="O11" s="68">
        <f>IF(Tabela1101112[[#This Row],[STRACONE]]=0,0,Tabela1101112[[#This Row],[ZDOBYTE]]/Tabela1101112[[#This Row],[STRACONE]])</f>
        <v>0</v>
      </c>
      <c r="P11" s="69">
        <f t="shared" si="6"/>
        <v>0</v>
      </c>
      <c r="S11" s="76" t="str">
        <f>A12</f>
        <v>LEN ŻYRARDÓW 6</v>
      </c>
      <c r="T11" s="71">
        <f t="array" ref="T11">SUM((home=S11)*(ISNUMBER(homescore)),(visitor=S11)*(ISNUMBER(visitorscore)))</f>
        <v>9</v>
      </c>
      <c r="U11" s="57">
        <f t="array" ref="U11">SUM((home=S11)*(homescore&gt;visitorscore),(visitor=S11)*(visitorscore&gt;homescore))</f>
        <v>3</v>
      </c>
      <c r="V11" s="57">
        <f t="array" ref="V11">SUM((home=S11)*(homescore&lt;visitorscore),(visitor=S11)*(visitorscore&lt;homescore))</f>
        <v>6</v>
      </c>
      <c r="W11" s="72">
        <f t="shared" ref="W11" si="29">SUMIF(home,S11,homescore)+SUMIF(visitor,S11,visitorscore)</f>
        <v>33</v>
      </c>
      <c r="X11" s="73">
        <f t="shared" ref="X11" si="30">SUMIF(home,S11,visitorscore)+SUMIF(visitor,S11,homescore)</f>
        <v>66</v>
      </c>
      <c r="Y11" s="57">
        <f t="shared" si="12"/>
        <v>-33</v>
      </c>
      <c r="Z11" s="74">
        <f t="shared" si="13"/>
        <v>0.5</v>
      </c>
      <c r="AA11" s="72">
        <f t="shared" si="14"/>
        <v>6</v>
      </c>
      <c r="AB11" s="75">
        <f t="shared" si="15"/>
        <v>599670533</v>
      </c>
      <c r="AC11" s="56">
        <f t="shared" si="16"/>
        <v>7</v>
      </c>
    </row>
    <row r="12" spans="1:29">
      <c r="A12" s="79" t="s">
        <v>131</v>
      </c>
      <c r="H12" s="67" t="str">
        <f>_xlfn.XLOOKUP(10,$AC$3:$AC$12,$S$3:$S$12)</f>
        <v>RAS SZYDŁOWIEC 3</v>
      </c>
      <c r="I12" s="67">
        <f t="shared" si="0"/>
        <v>9</v>
      </c>
      <c r="J12" s="67">
        <f t="shared" si="1"/>
        <v>0</v>
      </c>
      <c r="K12" s="67">
        <f t="shared" si="2"/>
        <v>7</v>
      </c>
      <c r="L12" s="67">
        <f t="shared" si="3"/>
        <v>0</v>
      </c>
      <c r="M12" s="67">
        <f t="shared" si="4"/>
        <v>77</v>
      </c>
      <c r="N12" s="67">
        <f t="shared" si="5"/>
        <v>-77</v>
      </c>
      <c r="O12" s="68">
        <f>IF(Tabela1101112[[#This Row],[STRACONE]]=0,0,Tabela1101112[[#This Row],[ZDOBYTE]]/Tabela1101112[[#This Row],[STRACONE]])</f>
        <v>0</v>
      </c>
      <c r="P12" s="69">
        <f t="shared" si="6"/>
        <v>0</v>
      </c>
      <c r="S12" s="77" t="str">
        <f t="shared" ref="S12" si="31">A13</f>
        <v>LEN ŻYRARDÓW 9</v>
      </c>
      <c r="T12" s="71">
        <f t="array" ref="T12">SUM((home=S12)*(ISNUMBER(homescore)),(visitor=S12)*(ISNUMBER(visitorscore)))</f>
        <v>9</v>
      </c>
      <c r="U12" s="57">
        <f t="array" ref="U12">SUM((home=S12)*(homescore&gt;visitorscore),(visitor=S12)*(visitorscore&gt;homescore))</f>
        <v>5</v>
      </c>
      <c r="V12" s="57">
        <f t="array" ref="V12">SUM((home=S12)*(homescore&lt;visitorscore),(visitor=S12)*(visitorscore&lt;homescore))</f>
        <v>4</v>
      </c>
      <c r="W12" s="72">
        <f t="shared" ref="W12" si="32">SUMIF(home,S12,homescore)+SUMIF(visitor,S12,visitorscore)</f>
        <v>80</v>
      </c>
      <c r="X12" s="73">
        <f t="shared" ref="X12" si="33">SUMIF(home,S12,visitorscore)+SUMIF(visitor,S12,homescore)</f>
        <v>53</v>
      </c>
      <c r="Y12" s="57">
        <f>W12-X12</f>
        <v>27</v>
      </c>
      <c r="Z12" s="74">
        <f>IF(X12&gt;0,W12/X12,0)</f>
        <v>1.5094339622641511</v>
      </c>
      <c r="AA12" s="72">
        <f>2*U12</f>
        <v>10</v>
      </c>
      <c r="AB12" s="75">
        <f>W12+Z12*1000+Y12*10000+AA12*100000000</f>
        <v>1000271589.4339622</v>
      </c>
      <c r="AC12" s="56">
        <f t="shared" si="16"/>
        <v>6</v>
      </c>
    </row>
    <row r="13" spans="1:29">
      <c r="A13" s="79" t="s">
        <v>132</v>
      </c>
    </row>
    <row r="15" spans="1:29">
      <c r="H15"/>
      <c r="I15"/>
      <c r="J15"/>
      <c r="K15"/>
      <c r="L15"/>
      <c r="M15"/>
      <c r="N15"/>
      <c r="O15"/>
      <c r="P15"/>
    </row>
    <row r="16" spans="1:29">
      <c r="A16" s="65" t="s">
        <v>27</v>
      </c>
      <c r="B16" s="65" t="s">
        <v>68</v>
      </c>
      <c r="H16"/>
      <c r="I16"/>
      <c r="J16"/>
      <c r="K16"/>
      <c r="L16"/>
      <c r="M16"/>
      <c r="N16"/>
      <c r="O16"/>
      <c r="P16"/>
    </row>
    <row r="17" spans="1:29">
      <c r="A17" s="26" t="str">
        <f>A4</f>
        <v>VICTORIA LUBOWIDZ 4</v>
      </c>
      <c r="B17" s="26" t="str">
        <f>A13</f>
        <v>LEN ŻYRARDÓW 9</v>
      </c>
      <c r="C17" s="67">
        <v>11</v>
      </c>
      <c r="D17" s="67" t="s">
        <v>29</v>
      </c>
      <c r="E17" s="67">
        <v>5</v>
      </c>
      <c r="H17"/>
      <c r="I17"/>
      <c r="J17"/>
      <c r="K17"/>
      <c r="L17"/>
      <c r="M17"/>
      <c r="N17"/>
      <c r="O17"/>
      <c r="P17"/>
    </row>
    <row r="18" spans="1:29">
      <c r="A18" s="26" t="str">
        <f>A5</f>
        <v>GLKS NADARZYN 12</v>
      </c>
      <c r="B18" s="26" t="str">
        <f>A12</f>
        <v>LEN ŻYRARDÓW 6</v>
      </c>
      <c r="C18" s="67">
        <v>11</v>
      </c>
      <c r="D18" s="67" t="s">
        <v>29</v>
      </c>
      <c r="E18" s="67">
        <v>0</v>
      </c>
      <c r="F18" s="57"/>
      <c r="H18"/>
      <c r="I18"/>
      <c r="J18"/>
      <c r="K18"/>
      <c r="L18"/>
      <c r="M18"/>
      <c r="N18"/>
      <c r="O18"/>
      <c r="P18"/>
    </row>
    <row r="19" spans="1:29">
      <c r="A19" s="26" t="str">
        <f>A6</f>
        <v>RAS SZYDŁOWIEC 3</v>
      </c>
      <c r="B19" s="26" t="str">
        <f>A11</f>
        <v>ORLĘTA RASZYN 141</v>
      </c>
      <c r="C19" s="67">
        <v>0</v>
      </c>
      <c r="D19" s="67" t="s">
        <v>29</v>
      </c>
      <c r="E19" s="67">
        <v>0</v>
      </c>
      <c r="F19" s="57"/>
      <c r="H19"/>
      <c r="I19"/>
      <c r="J19"/>
      <c r="K19"/>
      <c r="L19"/>
      <c r="M19"/>
      <c r="N19"/>
      <c r="O19"/>
      <c r="P19"/>
    </row>
    <row r="20" spans="1:29">
      <c r="A20" s="26" t="str">
        <f>A7</f>
        <v>LEN ŻYRARDÓW 13</v>
      </c>
      <c r="B20" s="26" t="str">
        <f>A10</f>
        <v>UKS LESZNOWOLA 18</v>
      </c>
      <c r="C20" s="67">
        <v>0</v>
      </c>
      <c r="D20" s="67" t="s">
        <v>29</v>
      </c>
      <c r="E20" s="67">
        <v>11</v>
      </c>
      <c r="F20" s="57"/>
      <c r="H20"/>
      <c r="I20"/>
      <c r="J20"/>
      <c r="K20"/>
      <c r="L20"/>
      <c r="M20"/>
      <c r="N20"/>
      <c r="O20"/>
      <c r="P20"/>
    </row>
    <row r="21" spans="1:29">
      <c r="A21" s="26" t="str">
        <f>A8</f>
        <v>RAS SZYDŁOWIEC 1</v>
      </c>
      <c r="B21" s="26" t="str">
        <f>A9</f>
        <v>ORLĘTA RASZYN 14</v>
      </c>
      <c r="C21" s="67">
        <v>11</v>
      </c>
      <c r="D21" s="67" t="s">
        <v>29</v>
      </c>
      <c r="E21" s="67">
        <v>7</v>
      </c>
      <c r="F21" s="57"/>
      <c r="H21"/>
      <c r="I21"/>
      <c r="J21"/>
      <c r="K21"/>
      <c r="L21"/>
      <c r="M21"/>
      <c r="N21"/>
      <c r="O21"/>
      <c r="P21"/>
    </row>
    <row r="22" spans="1:29">
      <c r="A22" s="26" t="str">
        <f>A13</f>
        <v>LEN ŻYRARDÓW 9</v>
      </c>
      <c r="B22" s="26" t="str">
        <f>A9</f>
        <v>ORLĘTA RASZYN 14</v>
      </c>
      <c r="C22" s="67">
        <v>7</v>
      </c>
      <c r="D22" s="67" t="s">
        <v>29</v>
      </c>
      <c r="E22" s="67">
        <v>11</v>
      </c>
      <c r="F22" s="57"/>
      <c r="H22"/>
      <c r="I22"/>
      <c r="J22"/>
      <c r="K22"/>
      <c r="L22"/>
      <c r="M22"/>
      <c r="N22"/>
      <c r="O22"/>
      <c r="P22"/>
    </row>
    <row r="23" spans="1:29">
      <c r="A23" s="26" t="str">
        <f>A10</f>
        <v>UKS LESZNOWOLA 18</v>
      </c>
      <c r="B23" s="26" t="str">
        <f>A8</f>
        <v>RAS SZYDŁOWIEC 1</v>
      </c>
      <c r="C23" s="67">
        <v>9</v>
      </c>
      <c r="D23" s="67" t="s">
        <v>29</v>
      </c>
      <c r="E23" s="67">
        <v>11</v>
      </c>
      <c r="F23" s="57" t="s">
        <v>30</v>
      </c>
      <c r="H23"/>
      <c r="I23"/>
      <c r="J23"/>
      <c r="K23"/>
      <c r="L23"/>
      <c r="M23"/>
      <c r="N23"/>
      <c r="O23"/>
      <c r="P23"/>
    </row>
    <row r="24" spans="1:29" s="57" customFormat="1">
      <c r="A24" s="26" t="str">
        <f>A11</f>
        <v>ORLĘTA RASZYN 141</v>
      </c>
      <c r="B24" s="26" t="str">
        <f>A7</f>
        <v>LEN ŻYRARDÓW 13</v>
      </c>
      <c r="C24" s="67">
        <v>0</v>
      </c>
      <c r="D24" s="67" t="s">
        <v>29</v>
      </c>
      <c r="E24" s="67">
        <v>0</v>
      </c>
      <c r="H24"/>
      <c r="I24"/>
      <c r="J24"/>
      <c r="K24"/>
      <c r="L24"/>
      <c r="M24"/>
      <c r="N24"/>
      <c r="O24"/>
      <c r="P24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</row>
    <row r="25" spans="1:29" s="57" customFormat="1">
      <c r="A25" s="26" t="str">
        <f>A12</f>
        <v>LEN ŻYRARDÓW 6</v>
      </c>
      <c r="B25" s="26" t="str">
        <f>A6</f>
        <v>RAS SZYDŁOWIEC 3</v>
      </c>
      <c r="C25" s="67">
        <v>11</v>
      </c>
      <c r="D25" s="67" t="s">
        <v>29</v>
      </c>
      <c r="E25" s="67">
        <v>0</v>
      </c>
      <c r="F25" s="56"/>
      <c r="H25"/>
      <c r="I25"/>
      <c r="J25"/>
      <c r="K25"/>
      <c r="L25"/>
      <c r="M25"/>
      <c r="N25"/>
      <c r="O25"/>
      <c r="P25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</row>
    <row r="26" spans="1:29" s="57" customFormat="1">
      <c r="A26" s="26" t="str">
        <f t="shared" ref="A26:A31" si="34">A4</f>
        <v>VICTORIA LUBOWIDZ 4</v>
      </c>
      <c r="B26" s="26" t="str">
        <f>A5</f>
        <v>GLKS NADARZYN 12</v>
      </c>
      <c r="C26" s="67">
        <v>11</v>
      </c>
      <c r="D26" s="67" t="s">
        <v>29</v>
      </c>
      <c r="E26" s="67">
        <v>6</v>
      </c>
      <c r="F26" s="56"/>
      <c r="H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</row>
    <row r="27" spans="1:29" s="57" customFormat="1">
      <c r="A27" s="26" t="str">
        <f t="shared" si="34"/>
        <v>GLKS NADARZYN 12</v>
      </c>
      <c r="B27" s="26" t="str">
        <f>A13</f>
        <v>LEN ŻYRARDÓW 9</v>
      </c>
      <c r="C27" s="67">
        <v>9</v>
      </c>
      <c r="D27" s="67" t="s">
        <v>29</v>
      </c>
      <c r="E27" s="67">
        <v>11</v>
      </c>
      <c r="F27" s="56"/>
      <c r="H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29" s="57" customFormat="1">
      <c r="A28" s="26" t="str">
        <f t="shared" si="34"/>
        <v>RAS SZYDŁOWIEC 3</v>
      </c>
      <c r="B28" s="26" t="str">
        <f>A4</f>
        <v>VICTORIA LUBOWIDZ 4</v>
      </c>
      <c r="C28" s="67">
        <v>0</v>
      </c>
      <c r="D28" s="67" t="s">
        <v>29</v>
      </c>
      <c r="E28" s="67">
        <v>11</v>
      </c>
      <c r="F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1:29" s="57" customFormat="1">
      <c r="A29" s="26" t="str">
        <f t="shared" si="34"/>
        <v>LEN ŻYRARDÓW 13</v>
      </c>
      <c r="B29" s="26" t="str">
        <f>A12</f>
        <v>LEN ŻYRARDÓW 6</v>
      </c>
      <c r="C29" s="67">
        <v>0</v>
      </c>
      <c r="D29" s="67" t="s">
        <v>29</v>
      </c>
      <c r="E29" s="67">
        <v>11</v>
      </c>
      <c r="F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>
      <c r="A30" s="26" t="str">
        <f t="shared" si="34"/>
        <v>RAS SZYDŁOWIEC 1</v>
      </c>
      <c r="B30" s="26" t="str">
        <f>A11</f>
        <v>ORLĘTA RASZYN 141</v>
      </c>
      <c r="C30" s="67">
        <v>11</v>
      </c>
      <c r="D30" s="67" t="s">
        <v>29</v>
      </c>
      <c r="E30" s="67">
        <v>7</v>
      </c>
    </row>
    <row r="31" spans="1:29">
      <c r="A31" s="26" t="str">
        <f t="shared" si="34"/>
        <v>ORLĘTA RASZYN 14</v>
      </c>
      <c r="B31" s="26" t="str">
        <f>A10</f>
        <v>UKS LESZNOWOLA 18</v>
      </c>
      <c r="C31" s="67">
        <v>9</v>
      </c>
      <c r="D31" s="67" t="s">
        <v>29</v>
      </c>
      <c r="E31" s="67">
        <v>11</v>
      </c>
    </row>
    <row r="32" spans="1:29">
      <c r="A32" s="26" t="str">
        <f>A13</f>
        <v>LEN ŻYRARDÓW 9</v>
      </c>
      <c r="B32" s="26" t="str">
        <f>A10</f>
        <v>UKS LESZNOWOLA 18</v>
      </c>
      <c r="C32" s="67">
        <v>8</v>
      </c>
      <c r="D32" s="67" t="s">
        <v>29</v>
      </c>
      <c r="E32" s="67">
        <v>11</v>
      </c>
    </row>
    <row r="33" spans="1:5">
      <c r="A33" s="26" t="str">
        <f>A12</f>
        <v>LEN ŻYRARDÓW 6</v>
      </c>
      <c r="B33" s="26" t="str">
        <f>A8</f>
        <v>RAS SZYDŁOWIEC 1</v>
      </c>
      <c r="C33" s="67">
        <v>0</v>
      </c>
      <c r="D33" s="67" t="s">
        <v>29</v>
      </c>
      <c r="E33" s="67">
        <v>11</v>
      </c>
    </row>
    <row r="34" spans="1:5">
      <c r="A34" s="26" t="str">
        <f>A11</f>
        <v>ORLĘTA RASZYN 141</v>
      </c>
      <c r="B34" s="26" t="str">
        <f>A9</f>
        <v>ORLĘTA RASZYN 14</v>
      </c>
      <c r="C34" s="67">
        <v>0</v>
      </c>
      <c r="D34" s="67" t="s">
        <v>29</v>
      </c>
      <c r="E34" s="67">
        <v>11</v>
      </c>
    </row>
    <row r="35" spans="1:5">
      <c r="A35" s="26" t="str">
        <f t="shared" ref="A35:A41" si="35">A4</f>
        <v>VICTORIA LUBOWIDZ 4</v>
      </c>
      <c r="B35" s="26" t="str">
        <f>A7</f>
        <v>LEN ŻYRARDÓW 13</v>
      </c>
      <c r="C35" s="67">
        <v>11</v>
      </c>
      <c r="D35" s="67" t="s">
        <v>29</v>
      </c>
      <c r="E35" s="67">
        <v>0</v>
      </c>
    </row>
    <row r="36" spans="1:5">
      <c r="A36" s="26" t="str">
        <f t="shared" si="35"/>
        <v>GLKS NADARZYN 12</v>
      </c>
      <c r="B36" s="26" t="str">
        <f>A6</f>
        <v>RAS SZYDŁOWIEC 3</v>
      </c>
      <c r="C36" s="67">
        <v>11</v>
      </c>
      <c r="D36" s="67" t="s">
        <v>29</v>
      </c>
      <c r="E36" s="67">
        <v>0</v>
      </c>
    </row>
    <row r="37" spans="1:5">
      <c r="A37" s="26" t="str">
        <f t="shared" si="35"/>
        <v>RAS SZYDŁOWIEC 3</v>
      </c>
      <c r="B37" s="26" t="str">
        <f>A13</f>
        <v>LEN ŻYRARDÓW 9</v>
      </c>
      <c r="C37" s="67">
        <v>0</v>
      </c>
      <c r="D37" s="67" t="s">
        <v>29</v>
      </c>
      <c r="E37" s="67">
        <v>11</v>
      </c>
    </row>
    <row r="38" spans="1:5">
      <c r="A38" s="26" t="str">
        <f t="shared" si="35"/>
        <v>LEN ŻYRARDÓW 13</v>
      </c>
      <c r="B38" s="26" t="str">
        <f>A5</f>
        <v>GLKS NADARZYN 12</v>
      </c>
      <c r="C38" s="67">
        <v>0</v>
      </c>
      <c r="D38" s="67" t="s">
        <v>29</v>
      </c>
      <c r="E38" s="67">
        <v>11</v>
      </c>
    </row>
    <row r="39" spans="1:5">
      <c r="A39" s="26" t="str">
        <f t="shared" si="35"/>
        <v>RAS SZYDŁOWIEC 1</v>
      </c>
      <c r="B39" s="26" t="str">
        <f>A4</f>
        <v>VICTORIA LUBOWIDZ 4</v>
      </c>
      <c r="C39" s="67">
        <v>3</v>
      </c>
      <c r="D39" s="67" t="s">
        <v>29</v>
      </c>
      <c r="E39" s="67">
        <v>11</v>
      </c>
    </row>
    <row r="40" spans="1:5">
      <c r="A40" s="26" t="str">
        <f t="shared" si="35"/>
        <v>ORLĘTA RASZYN 14</v>
      </c>
      <c r="B40" s="26" t="str">
        <f>A12</f>
        <v>LEN ŻYRARDÓW 6</v>
      </c>
      <c r="C40" s="67">
        <v>11</v>
      </c>
      <c r="D40" s="67" t="s">
        <v>29</v>
      </c>
      <c r="E40" s="67">
        <v>0</v>
      </c>
    </row>
    <row r="41" spans="1:5">
      <c r="A41" s="26" t="str">
        <f t="shared" si="35"/>
        <v>UKS LESZNOWOLA 18</v>
      </c>
      <c r="B41" s="26" t="str">
        <f>A11</f>
        <v>ORLĘTA RASZYN 141</v>
      </c>
      <c r="C41" s="67">
        <v>11</v>
      </c>
      <c r="D41" s="67" t="s">
        <v>29</v>
      </c>
      <c r="E41" s="67">
        <v>0</v>
      </c>
    </row>
    <row r="42" spans="1:5">
      <c r="A42" s="26" t="str">
        <f>A13</f>
        <v>LEN ŻYRARDÓW 9</v>
      </c>
      <c r="B42" s="26" t="str">
        <f>A11</f>
        <v>ORLĘTA RASZYN 141</v>
      </c>
      <c r="C42" s="67">
        <v>11</v>
      </c>
      <c r="D42" s="67" t="s">
        <v>29</v>
      </c>
      <c r="E42" s="67">
        <v>0</v>
      </c>
    </row>
    <row r="43" spans="1:5">
      <c r="A43" s="26" t="str">
        <f>A12</f>
        <v>LEN ŻYRARDÓW 6</v>
      </c>
      <c r="B43" s="26" t="str">
        <f>A10</f>
        <v>UKS LESZNOWOLA 18</v>
      </c>
      <c r="C43" s="67">
        <v>0</v>
      </c>
      <c r="D43" s="67" t="s">
        <v>29</v>
      </c>
      <c r="E43" s="67">
        <v>11</v>
      </c>
    </row>
    <row r="44" spans="1:5">
      <c r="A44" s="26" t="str">
        <f t="shared" ref="A44:A51" si="36">A4</f>
        <v>VICTORIA LUBOWIDZ 4</v>
      </c>
      <c r="B44" s="26" t="str">
        <f>A9</f>
        <v>ORLĘTA RASZYN 14</v>
      </c>
      <c r="C44" s="67">
        <v>11</v>
      </c>
      <c r="D44" s="67" t="s">
        <v>29</v>
      </c>
      <c r="E44" s="67">
        <v>4</v>
      </c>
    </row>
    <row r="45" spans="1:5">
      <c r="A45" s="26" t="str">
        <f t="shared" si="36"/>
        <v>GLKS NADARZYN 12</v>
      </c>
      <c r="B45" s="26" t="str">
        <f>A8</f>
        <v>RAS SZYDŁOWIEC 1</v>
      </c>
      <c r="C45" s="67">
        <v>2</v>
      </c>
      <c r="D45" s="67" t="s">
        <v>29</v>
      </c>
      <c r="E45" s="67">
        <v>11</v>
      </c>
    </row>
    <row r="46" spans="1:5">
      <c r="A46" s="26" t="str">
        <f t="shared" si="36"/>
        <v>RAS SZYDŁOWIEC 3</v>
      </c>
      <c r="B46" s="26" t="str">
        <f>A7</f>
        <v>LEN ŻYRARDÓW 13</v>
      </c>
      <c r="C46" s="67">
        <v>0</v>
      </c>
      <c r="D46" s="67" t="s">
        <v>29</v>
      </c>
      <c r="E46" s="67">
        <v>0</v>
      </c>
    </row>
    <row r="47" spans="1:5">
      <c r="A47" s="26" t="str">
        <f t="shared" si="36"/>
        <v>LEN ŻYRARDÓW 13</v>
      </c>
      <c r="B47" s="26" t="str">
        <f>A13</f>
        <v>LEN ŻYRARDÓW 9</v>
      </c>
      <c r="C47" s="67">
        <v>0</v>
      </c>
      <c r="D47" s="67" t="s">
        <v>29</v>
      </c>
      <c r="E47" s="67">
        <v>11</v>
      </c>
    </row>
    <row r="48" spans="1:5">
      <c r="A48" s="26" t="str">
        <f t="shared" si="36"/>
        <v>RAS SZYDŁOWIEC 1</v>
      </c>
      <c r="B48" s="26" t="str">
        <f>A6</f>
        <v>RAS SZYDŁOWIEC 3</v>
      </c>
      <c r="C48" s="67">
        <v>11</v>
      </c>
      <c r="D48" s="67" t="s">
        <v>29</v>
      </c>
      <c r="E48" s="67">
        <v>0</v>
      </c>
    </row>
    <row r="49" spans="1:5">
      <c r="A49" s="26" t="str">
        <f t="shared" si="36"/>
        <v>ORLĘTA RASZYN 14</v>
      </c>
      <c r="B49" s="26" t="str">
        <f>A5</f>
        <v>GLKS NADARZYN 12</v>
      </c>
      <c r="C49" s="67">
        <v>11</v>
      </c>
      <c r="D49" s="67" t="s">
        <v>29</v>
      </c>
      <c r="E49" s="67">
        <v>6</v>
      </c>
    </row>
    <row r="50" spans="1:5">
      <c r="A50" s="26" t="str">
        <f t="shared" si="36"/>
        <v>UKS LESZNOWOLA 18</v>
      </c>
      <c r="B50" s="26" t="str">
        <f>A4</f>
        <v>VICTORIA LUBOWIDZ 4</v>
      </c>
      <c r="C50" s="67">
        <v>3</v>
      </c>
      <c r="D50" s="67" t="s">
        <v>29</v>
      </c>
      <c r="E50" s="67">
        <v>11</v>
      </c>
    </row>
    <row r="51" spans="1:5">
      <c r="A51" s="26" t="str">
        <f t="shared" si="36"/>
        <v>ORLĘTA RASZYN 141</v>
      </c>
      <c r="B51" s="26" t="str">
        <f>A12</f>
        <v>LEN ŻYRARDÓW 6</v>
      </c>
      <c r="C51" s="67">
        <v>0</v>
      </c>
      <c r="D51" s="67" t="s">
        <v>29</v>
      </c>
      <c r="E51" s="67">
        <v>11</v>
      </c>
    </row>
    <row r="52" spans="1:5">
      <c r="A52" s="26" t="str">
        <f>A13</f>
        <v>LEN ŻYRARDÓW 9</v>
      </c>
      <c r="B52" s="26" t="str">
        <f>A12</f>
        <v>LEN ŻYRARDÓW 6</v>
      </c>
      <c r="C52" s="67">
        <v>11</v>
      </c>
      <c r="D52" s="67" t="s">
        <v>29</v>
      </c>
      <c r="E52" s="67">
        <v>0</v>
      </c>
    </row>
    <row r="53" spans="1:5">
      <c r="A53" s="26" t="str">
        <f t="shared" ref="A53:A61" si="37">A4</f>
        <v>VICTORIA LUBOWIDZ 4</v>
      </c>
      <c r="B53" s="26" t="str">
        <f>A11</f>
        <v>ORLĘTA RASZYN 141</v>
      </c>
      <c r="C53" s="67">
        <v>11</v>
      </c>
      <c r="D53" s="67" t="s">
        <v>29</v>
      </c>
      <c r="E53" s="67">
        <v>0</v>
      </c>
    </row>
    <row r="54" spans="1:5">
      <c r="A54" s="26" t="str">
        <f t="shared" si="37"/>
        <v>GLKS NADARZYN 12</v>
      </c>
      <c r="B54" s="26" t="str">
        <f>A10</f>
        <v>UKS LESZNOWOLA 18</v>
      </c>
      <c r="C54" s="67">
        <v>11</v>
      </c>
      <c r="D54" s="67" t="s">
        <v>29</v>
      </c>
      <c r="E54" s="67">
        <v>6</v>
      </c>
    </row>
    <row r="55" spans="1:5">
      <c r="A55" s="26" t="str">
        <f t="shared" si="37"/>
        <v>RAS SZYDŁOWIEC 3</v>
      </c>
      <c r="B55" s="26" t="str">
        <f>A9</f>
        <v>ORLĘTA RASZYN 14</v>
      </c>
      <c r="C55" s="67">
        <v>0</v>
      </c>
      <c r="D55" s="67" t="s">
        <v>29</v>
      </c>
      <c r="E55" s="67">
        <v>11</v>
      </c>
    </row>
    <row r="56" spans="1:5">
      <c r="A56" s="26" t="str">
        <f t="shared" si="37"/>
        <v>LEN ŻYRARDÓW 13</v>
      </c>
      <c r="B56" s="26" t="str">
        <f>A8</f>
        <v>RAS SZYDŁOWIEC 1</v>
      </c>
      <c r="C56" s="67">
        <v>0</v>
      </c>
      <c r="D56" s="67" t="s">
        <v>29</v>
      </c>
      <c r="E56" s="67">
        <v>11</v>
      </c>
    </row>
    <row r="57" spans="1:5">
      <c r="A57" s="26" t="str">
        <f t="shared" si="37"/>
        <v>RAS SZYDŁOWIEC 1</v>
      </c>
      <c r="B57" s="26" t="str">
        <f>A13</f>
        <v>LEN ŻYRARDÓW 9</v>
      </c>
      <c r="C57" s="67">
        <v>11</v>
      </c>
      <c r="D57" s="67" t="s">
        <v>29</v>
      </c>
      <c r="E57" s="67">
        <v>5</v>
      </c>
    </row>
    <row r="58" spans="1:5">
      <c r="A58" s="26" t="str">
        <f t="shared" si="37"/>
        <v>ORLĘTA RASZYN 14</v>
      </c>
      <c r="B58" s="26" t="str">
        <f>A7</f>
        <v>LEN ŻYRARDÓW 13</v>
      </c>
      <c r="C58" s="67">
        <v>11</v>
      </c>
      <c r="D58" s="67" t="s">
        <v>29</v>
      </c>
      <c r="E58" s="67">
        <v>0</v>
      </c>
    </row>
    <row r="59" spans="1:5">
      <c r="A59" s="26" t="str">
        <f t="shared" si="37"/>
        <v>UKS LESZNOWOLA 18</v>
      </c>
      <c r="B59" s="26" t="str">
        <f>A6</f>
        <v>RAS SZYDŁOWIEC 3</v>
      </c>
      <c r="C59" s="67">
        <v>11</v>
      </c>
      <c r="D59" s="67" t="s">
        <v>29</v>
      </c>
      <c r="E59" s="67">
        <v>0</v>
      </c>
    </row>
    <row r="60" spans="1:5">
      <c r="A60" s="26" t="str">
        <f t="shared" si="37"/>
        <v>ORLĘTA RASZYN 141</v>
      </c>
      <c r="B60" s="26" t="str">
        <f>A5</f>
        <v>GLKS NADARZYN 12</v>
      </c>
      <c r="C60" s="67">
        <v>0</v>
      </c>
      <c r="D60" s="67" t="s">
        <v>29</v>
      </c>
      <c r="E60" s="67">
        <v>11</v>
      </c>
    </row>
    <row r="61" spans="1:5">
      <c r="A61" s="26" t="str">
        <f t="shared" si="37"/>
        <v>LEN ŻYRARDÓW 6</v>
      </c>
      <c r="B61" s="26" t="str">
        <f>A4</f>
        <v>VICTORIA LUBOWIDZ 4</v>
      </c>
      <c r="C61" s="67">
        <v>0</v>
      </c>
      <c r="D61" s="67" t="s">
        <v>29</v>
      </c>
      <c r="E61" s="67">
        <v>11</v>
      </c>
    </row>
  </sheetData>
  <autoFilter ref="A16:B6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CC1F-BE64-4E9E-B955-91977F3EB6FD}">
  <dimension ref="A1:AC61"/>
  <sheetViews>
    <sheetView topLeftCell="A33" workbookViewId="0">
      <selection activeCell="K17" sqref="K17"/>
    </sheetView>
  </sheetViews>
  <sheetFormatPr defaultColWidth="8.85546875" defaultRowHeight="15"/>
  <cols>
    <col min="1" max="2" width="20.7109375" style="56" bestFit="1" customWidth="1"/>
    <col min="3" max="5" width="3.85546875" style="56" customWidth="1"/>
    <col min="6" max="6" width="8.28515625" style="56" customWidth="1"/>
    <col min="7" max="7" width="8.28515625" style="57" customWidth="1"/>
    <col min="8" max="8" width="21.28515625" style="57" bestFit="1" customWidth="1"/>
    <col min="9" max="9" width="11.7109375" style="57" customWidth="1"/>
    <col min="10" max="16" width="11.7109375" style="56" customWidth="1"/>
    <col min="17" max="17" width="11.42578125" style="56" customWidth="1"/>
    <col min="18" max="18" width="8.85546875" style="56" customWidth="1"/>
    <col min="19" max="19" width="21.140625" style="56" bestFit="1" customWidth="1"/>
    <col min="20" max="26" width="9.140625" style="56" customWidth="1"/>
    <col min="27" max="27" width="7" style="56" customWidth="1"/>
    <col min="28" max="28" width="9.140625" style="56" customWidth="1"/>
    <col min="29" max="29" width="8.85546875" style="56" customWidth="1"/>
    <col min="30" max="16384" width="8.85546875" style="56"/>
  </cols>
  <sheetData>
    <row r="1" spans="1:29" ht="28.5">
      <c r="A1" s="55" t="s">
        <v>133</v>
      </c>
      <c r="S1" s="56" t="s">
        <v>1</v>
      </c>
      <c r="T1" s="56" t="b">
        <f>ROWS(homescore)-COUNT(homescore)=0</f>
        <v>1</v>
      </c>
    </row>
    <row r="2" spans="1:29">
      <c r="H2" s="58" t="s">
        <v>3</v>
      </c>
      <c r="I2" s="59" t="s">
        <v>4</v>
      </c>
      <c r="J2" s="59" t="s">
        <v>5</v>
      </c>
      <c r="K2" s="59" t="s">
        <v>6</v>
      </c>
      <c r="L2" s="59" t="s">
        <v>7</v>
      </c>
      <c r="M2" s="59" t="s">
        <v>8</v>
      </c>
      <c r="N2" s="59" t="s">
        <v>9</v>
      </c>
      <c r="O2" s="60" t="s">
        <v>10</v>
      </c>
      <c r="P2" s="60" t="s">
        <v>11</v>
      </c>
      <c r="T2" s="61" t="s">
        <v>4</v>
      </c>
      <c r="U2" s="62" t="s">
        <v>12</v>
      </c>
      <c r="V2" s="62" t="s">
        <v>13</v>
      </c>
      <c r="W2" s="63" t="s">
        <v>14</v>
      </c>
      <c r="X2" s="58" t="s">
        <v>15</v>
      </c>
      <c r="Y2" s="62" t="s">
        <v>16</v>
      </c>
      <c r="Z2" s="64" t="s">
        <v>17</v>
      </c>
      <c r="AA2" s="63" t="s">
        <v>13</v>
      </c>
      <c r="AB2" s="63" t="s">
        <v>18</v>
      </c>
      <c r="AC2" s="56" t="s">
        <v>100</v>
      </c>
    </row>
    <row r="3" spans="1:29">
      <c r="A3" s="65" t="s">
        <v>3</v>
      </c>
      <c r="B3" s="66"/>
      <c r="H3" s="67" t="str">
        <f>_xlfn.XLOOKUP(1,$AC$3:$AC$12,$S$3:$S$12)</f>
        <v>LEN ŻYRARDÓW 3</v>
      </c>
      <c r="I3" s="67">
        <f t="shared" ref="I3:I12" si="0">VLOOKUP($H3,$S$3:$AA$12,2,0)</f>
        <v>9</v>
      </c>
      <c r="J3" s="67">
        <f t="shared" ref="J3:J12" si="1">VLOOKUP($H3,$S$3:$AA$12,3,0)</f>
        <v>8</v>
      </c>
      <c r="K3" s="67">
        <f t="shared" ref="K3:K12" si="2">VLOOKUP($H3,$S$3:$AA$12,4,0)</f>
        <v>1</v>
      </c>
      <c r="L3" s="67">
        <f t="shared" ref="L3:L12" si="3">VLOOKUP($H3,$S$3:$AA$12,5,0)</f>
        <v>88</v>
      </c>
      <c r="M3" s="67">
        <f t="shared" ref="M3:M12" si="4">VLOOKUP($H3,$S$3:$AA$12,6,0)</f>
        <v>45</v>
      </c>
      <c r="N3" s="67">
        <f t="shared" ref="N3:N12" si="5">VLOOKUP($H3,$S$3:$AA$12,7,0)</f>
        <v>43</v>
      </c>
      <c r="O3" s="68">
        <f>IF(Tabela110111213[[#This Row],[STRACONE]]=0,0,Tabela110111213[[#This Row],[ZDOBYTE]]/Tabela110111213[[#This Row],[STRACONE]])</f>
        <v>1.9555555555555555</v>
      </c>
      <c r="P3" s="69">
        <f t="shared" ref="P3:P12" si="6">VLOOKUP($H3,$S$3:$AB$12,9,0)</f>
        <v>16</v>
      </c>
      <c r="S3" s="70" t="str">
        <f t="shared" ref="S3:S10" si="7">A4</f>
        <v>OLIMP MIŃSK MAZ. 16</v>
      </c>
      <c r="T3" s="71">
        <f t="array" ref="T3">SUM((home=S3)*(ISNUMBER(homescore)),(visitor=S3)*(ISNUMBER(visitorscore)))</f>
        <v>9</v>
      </c>
      <c r="U3" s="57">
        <f t="array" ref="U3">SUM((home=S3)*(homescore&gt;visitorscore),(visitor=S3)*(visitorscore&gt;homescore))</f>
        <v>6</v>
      </c>
      <c r="V3" s="57">
        <f t="array" ref="V3">SUM((home=S3)*(homescore&lt;visitorscore),(visitor=S3)*(visitorscore&lt;homescore))</f>
        <v>3</v>
      </c>
      <c r="W3" s="72">
        <f t="shared" ref="W3" si="8">SUMIF(home,S3,homescore)+SUMIF(visitor,S3,visitorscore)</f>
        <v>84</v>
      </c>
      <c r="X3" s="73">
        <f t="shared" ref="X3" si="9">SUMIF(home,S3,visitorscore)+SUMIF(visitor,S3,homescore)</f>
        <v>59</v>
      </c>
      <c r="Y3" s="57">
        <f>W3-X3</f>
        <v>25</v>
      </c>
      <c r="Z3" s="74">
        <f>IF(X3&gt;0,W3/X3,0)</f>
        <v>1.423728813559322</v>
      </c>
      <c r="AA3" s="72">
        <f>2*U3</f>
        <v>12</v>
      </c>
      <c r="AB3" s="75">
        <f>W3+Z3*1000+Y3*10000+AA3*100000000</f>
        <v>1200251507.7288136</v>
      </c>
      <c r="AC3" s="56">
        <f>RANK(AB3,$AB$3:$AB$12)</f>
        <v>5</v>
      </c>
    </row>
    <row r="4" spans="1:29">
      <c r="A4" s="79" t="s">
        <v>134</v>
      </c>
      <c r="H4" s="67" t="str">
        <f>_xlfn.XLOOKUP(2,$AC$3:$AC$12,$S$3:$S$12)</f>
        <v>VARSOVIA 3</v>
      </c>
      <c r="I4" s="67">
        <f t="shared" si="0"/>
        <v>9</v>
      </c>
      <c r="J4" s="67">
        <f t="shared" si="1"/>
        <v>7</v>
      </c>
      <c r="K4" s="67">
        <f t="shared" si="2"/>
        <v>2</v>
      </c>
      <c r="L4" s="67">
        <f t="shared" si="3"/>
        <v>94</v>
      </c>
      <c r="M4" s="67">
        <f t="shared" si="4"/>
        <v>41</v>
      </c>
      <c r="N4" s="67">
        <f t="shared" si="5"/>
        <v>53</v>
      </c>
      <c r="O4" s="68">
        <f>IF(Tabela110111213[[#This Row],[STRACONE]]=0,0,Tabela110111213[[#This Row],[ZDOBYTE]]/Tabela110111213[[#This Row],[STRACONE]])</f>
        <v>2.2926829268292681</v>
      </c>
      <c r="P4" s="69">
        <f t="shared" si="6"/>
        <v>14</v>
      </c>
      <c r="S4" s="76" t="str">
        <f t="shared" si="7"/>
        <v>SASKA WARSZAWA 4</v>
      </c>
      <c r="T4" s="71">
        <f t="array" ref="T4">SUM((home=S4)*(ISNUMBER(homescore)),(visitor=S4)*(ISNUMBER(visitorscore)))</f>
        <v>9</v>
      </c>
      <c r="U4" s="57">
        <f t="array" ref="U4">SUM((home=S4)*(homescore&gt;visitorscore),(visitor=S4)*(visitorscore&gt;homescore))</f>
        <v>7</v>
      </c>
      <c r="V4" s="57">
        <f t="array" ref="V4">SUM((home=S4)*(homescore&lt;visitorscore),(visitor=S4)*(visitorscore&lt;homescore))</f>
        <v>2</v>
      </c>
      <c r="W4" s="72">
        <f t="shared" ref="W4" si="10">SUMIF(home,S4,homescore)+SUMIF(visitor,S4,visitorscore)</f>
        <v>93</v>
      </c>
      <c r="X4" s="73">
        <f t="shared" ref="X4" si="11">SUMIF(home,S4,visitorscore)+SUMIF(visitor,S4,homescore)</f>
        <v>42</v>
      </c>
      <c r="Y4" s="57">
        <f t="shared" ref="Y4:Y11" si="12">W4-X4</f>
        <v>51</v>
      </c>
      <c r="Z4" s="74">
        <f t="shared" ref="Z4:Z11" si="13">IF(X4&gt;0,W4/X4,0)</f>
        <v>2.2142857142857144</v>
      </c>
      <c r="AA4" s="72">
        <f t="shared" ref="AA4:AA11" si="14">2*U4</f>
        <v>14</v>
      </c>
      <c r="AB4" s="75">
        <f t="shared" ref="AB4:AB11" si="15">W4+Z4*1000+Y4*10000+AA4*100000000</f>
        <v>1400512307.2857144</v>
      </c>
      <c r="AC4" s="56">
        <f t="shared" ref="AC4:AC12" si="16">RANK(AB4,$AB$3:$AB$12)</f>
        <v>3</v>
      </c>
    </row>
    <row r="5" spans="1:29">
      <c r="A5" s="79" t="s">
        <v>135</v>
      </c>
      <c r="H5" s="67" t="str">
        <f>_xlfn.XLOOKUP(3,$AC$3:$AC$12,$S$3:$S$12)</f>
        <v>SASKA WARSZAWA 4</v>
      </c>
      <c r="I5" s="67">
        <f t="shared" si="0"/>
        <v>9</v>
      </c>
      <c r="J5" s="67">
        <f t="shared" si="1"/>
        <v>7</v>
      </c>
      <c r="K5" s="67">
        <f t="shared" si="2"/>
        <v>2</v>
      </c>
      <c r="L5" s="67">
        <f t="shared" si="3"/>
        <v>93</v>
      </c>
      <c r="M5" s="67">
        <f t="shared" si="4"/>
        <v>42</v>
      </c>
      <c r="N5" s="67">
        <f t="shared" si="5"/>
        <v>51</v>
      </c>
      <c r="O5" s="68">
        <f>IF(Tabela110111213[[#This Row],[STRACONE]]=0,0,Tabela110111213[[#This Row],[ZDOBYTE]]/Tabela110111213[[#This Row],[STRACONE]])</f>
        <v>2.2142857142857144</v>
      </c>
      <c r="P5" s="69">
        <f t="shared" si="6"/>
        <v>14</v>
      </c>
      <c r="S5" s="76" t="str">
        <f t="shared" si="7"/>
        <v>ORLĘTA RASZYN 11</v>
      </c>
      <c r="T5" s="71">
        <f t="array" ref="T5">SUM((home=S5)*(ISNUMBER(homescore)),(visitor=S5)*(ISNUMBER(visitorscore)))</f>
        <v>9</v>
      </c>
      <c r="U5" s="57">
        <f t="array" ref="U5">SUM((home=S5)*(homescore&gt;visitorscore),(visitor=S5)*(visitorscore&gt;homescore))</f>
        <v>3</v>
      </c>
      <c r="V5" s="57">
        <f t="array" ref="V5">SUM((home=S5)*(homescore&lt;visitorscore),(visitor=S5)*(visitorscore&lt;homescore))</f>
        <v>6</v>
      </c>
      <c r="W5" s="72">
        <f t="shared" ref="W5" si="17">SUMIF(home,S5,homescore)+SUMIF(visitor,S5,visitorscore)</f>
        <v>60</v>
      </c>
      <c r="X5" s="73">
        <f t="shared" ref="X5" si="18">SUMIF(home,S5,visitorscore)+SUMIF(visitor,S5,homescore)</f>
        <v>76</v>
      </c>
      <c r="Y5" s="57">
        <f t="shared" si="12"/>
        <v>-16</v>
      </c>
      <c r="Z5" s="74">
        <f t="shared" si="13"/>
        <v>0.78947368421052633</v>
      </c>
      <c r="AA5" s="72">
        <f t="shared" si="14"/>
        <v>6</v>
      </c>
      <c r="AB5" s="75">
        <f t="shared" si="15"/>
        <v>599840849.47368419</v>
      </c>
      <c r="AC5" s="56">
        <f t="shared" si="16"/>
        <v>8</v>
      </c>
    </row>
    <row r="6" spans="1:29">
      <c r="A6" s="79" t="s">
        <v>136</v>
      </c>
      <c r="H6" s="67" t="str">
        <f>_xlfn.XLOOKUP(4,$AC$3:$AC$12,$S$3:$S$12)</f>
        <v>OLIMP TŁUSZCZ 1</v>
      </c>
      <c r="I6" s="67">
        <f t="shared" si="0"/>
        <v>9</v>
      </c>
      <c r="J6" s="67">
        <f t="shared" si="1"/>
        <v>6</v>
      </c>
      <c r="K6" s="67">
        <f t="shared" si="2"/>
        <v>3</v>
      </c>
      <c r="L6" s="67">
        <f t="shared" si="3"/>
        <v>91</v>
      </c>
      <c r="M6" s="67">
        <f t="shared" si="4"/>
        <v>58</v>
      </c>
      <c r="N6" s="67">
        <f t="shared" si="5"/>
        <v>33</v>
      </c>
      <c r="O6" s="68">
        <f>IF(Tabela110111213[[#This Row],[STRACONE]]=0,0,Tabela110111213[[#This Row],[ZDOBYTE]]/Tabela110111213[[#This Row],[STRACONE]])</f>
        <v>1.5689655172413792</v>
      </c>
      <c r="P6" s="69">
        <f t="shared" si="6"/>
        <v>12</v>
      </c>
      <c r="S6" s="76" t="str">
        <f t="shared" si="7"/>
        <v>LEN ŻYRARDÓW 16</v>
      </c>
      <c r="T6" s="71">
        <f t="array" ref="T6">SUM((home=S6)*(ISNUMBER(homescore)),(visitor=S6)*(ISNUMBER(visitorscore)))</f>
        <v>9</v>
      </c>
      <c r="U6" s="57">
        <f t="array" ref="U6">SUM((home=S6)*(homescore&gt;visitorscore),(visitor=S6)*(visitorscore&gt;homescore))</f>
        <v>3</v>
      </c>
      <c r="V6" s="57">
        <f t="array" ref="V6">SUM((home=S6)*(homescore&lt;visitorscore),(visitor=S6)*(visitorscore&lt;homescore))</f>
        <v>6</v>
      </c>
      <c r="W6" s="72">
        <f t="shared" ref="W6" si="19">SUMIF(home,S6,homescore)+SUMIF(visitor,S6,visitorscore)</f>
        <v>61</v>
      </c>
      <c r="X6" s="73">
        <f t="shared" ref="X6" si="20">SUMIF(home,S6,visitorscore)+SUMIF(visitor,S6,homescore)</f>
        <v>76</v>
      </c>
      <c r="Y6" s="57">
        <f t="shared" si="12"/>
        <v>-15</v>
      </c>
      <c r="Z6" s="74">
        <f t="shared" si="13"/>
        <v>0.80263157894736847</v>
      </c>
      <c r="AA6" s="72">
        <f t="shared" si="14"/>
        <v>6</v>
      </c>
      <c r="AB6" s="75">
        <f t="shared" si="15"/>
        <v>599850863.63157892</v>
      </c>
      <c r="AC6" s="56">
        <f t="shared" si="16"/>
        <v>7</v>
      </c>
    </row>
    <row r="7" spans="1:29">
      <c r="A7" s="79" t="s">
        <v>137</v>
      </c>
      <c r="H7" s="67" t="str">
        <f>_xlfn.XLOOKUP(5,$AC$3:$AC$12,$S$3:$S$12)</f>
        <v>OLIMP MIŃSK MAZ. 16</v>
      </c>
      <c r="I7" s="67">
        <f t="shared" si="0"/>
        <v>9</v>
      </c>
      <c r="J7" s="67">
        <f t="shared" si="1"/>
        <v>6</v>
      </c>
      <c r="K7" s="67">
        <f t="shared" si="2"/>
        <v>3</v>
      </c>
      <c r="L7" s="67">
        <f t="shared" si="3"/>
        <v>84</v>
      </c>
      <c r="M7" s="67">
        <f t="shared" si="4"/>
        <v>59</v>
      </c>
      <c r="N7" s="67">
        <f t="shared" si="5"/>
        <v>25</v>
      </c>
      <c r="O7" s="68">
        <f>IF(Tabela110111213[[#This Row],[STRACONE]]=0,0,Tabela110111213[[#This Row],[ZDOBYTE]]/Tabela110111213[[#This Row],[STRACONE]])</f>
        <v>1.423728813559322</v>
      </c>
      <c r="P7" s="69">
        <f t="shared" si="6"/>
        <v>12</v>
      </c>
      <c r="S7" s="76" t="str">
        <f t="shared" si="7"/>
        <v>ORLĘTA RASZYN 5</v>
      </c>
      <c r="T7" s="71">
        <f t="array" ref="T7">SUM((home=S7)*(ISNUMBER(homescore)),(visitor=S7)*(ISNUMBER(visitorscore)))</f>
        <v>9</v>
      </c>
      <c r="U7" s="57">
        <f t="array" ref="U7">SUM((home=S7)*(homescore&gt;visitorscore),(visitor=S7)*(visitorscore&gt;homescore))</f>
        <v>4</v>
      </c>
      <c r="V7" s="57">
        <f t="array" ref="V7">SUM((home=S7)*(homescore&lt;visitorscore),(visitor=S7)*(visitorscore&lt;homescore))</f>
        <v>5</v>
      </c>
      <c r="W7" s="72">
        <f t="shared" ref="W7" si="21">SUMIF(home,S7,homescore)+SUMIF(visitor,S7,visitorscore)</f>
        <v>66</v>
      </c>
      <c r="X7" s="73">
        <f t="shared" ref="X7" si="22">SUMIF(home,S7,visitorscore)+SUMIF(visitor,S7,homescore)</f>
        <v>64</v>
      </c>
      <c r="Y7" s="57">
        <f t="shared" si="12"/>
        <v>2</v>
      </c>
      <c r="Z7" s="74">
        <f t="shared" si="13"/>
        <v>1.03125</v>
      </c>
      <c r="AA7" s="72">
        <f t="shared" si="14"/>
        <v>8</v>
      </c>
      <c r="AB7" s="75">
        <f t="shared" si="15"/>
        <v>800021097.25</v>
      </c>
      <c r="AC7" s="56">
        <f t="shared" si="16"/>
        <v>6</v>
      </c>
    </row>
    <row r="8" spans="1:29">
      <c r="A8" s="79" t="s">
        <v>138</v>
      </c>
      <c r="H8" s="67" t="str">
        <f>_xlfn.XLOOKUP(6,$AC$3:$AC$12,$S$3:$S$12)</f>
        <v>ORLĘTA RASZYN 5</v>
      </c>
      <c r="I8" s="67">
        <f t="shared" si="0"/>
        <v>9</v>
      </c>
      <c r="J8" s="67">
        <f t="shared" si="1"/>
        <v>4</v>
      </c>
      <c r="K8" s="67">
        <f t="shared" si="2"/>
        <v>5</v>
      </c>
      <c r="L8" s="67">
        <f t="shared" si="3"/>
        <v>66</v>
      </c>
      <c r="M8" s="67">
        <f t="shared" si="4"/>
        <v>64</v>
      </c>
      <c r="N8" s="67">
        <f t="shared" si="5"/>
        <v>2</v>
      </c>
      <c r="O8" s="68">
        <f>IF(Tabela110111213[[#This Row],[STRACONE]]=0,0,Tabela110111213[[#This Row],[ZDOBYTE]]/Tabela110111213[[#This Row],[STRACONE]])</f>
        <v>1.03125</v>
      </c>
      <c r="P8" s="69">
        <f t="shared" si="6"/>
        <v>8</v>
      </c>
      <c r="S8" s="76" t="str">
        <f t="shared" si="7"/>
        <v>OLIMP TŁUSZCZ 1</v>
      </c>
      <c r="T8" s="71">
        <f t="array" ref="T8">SUM((home=S8)*(ISNUMBER(homescore)),(visitor=S8)*(ISNUMBER(visitorscore)))</f>
        <v>9</v>
      </c>
      <c r="U8" s="57">
        <f t="array" ref="U8">SUM((home=S8)*(homescore&gt;visitorscore),(visitor=S8)*(visitorscore&gt;homescore))</f>
        <v>6</v>
      </c>
      <c r="V8" s="57">
        <f t="array" ref="V8">SUM((home=S8)*(homescore&lt;visitorscore),(visitor=S8)*(visitorscore&lt;homescore))</f>
        <v>3</v>
      </c>
      <c r="W8" s="72">
        <f t="shared" ref="W8" si="23">SUMIF(home,S8,homescore)+SUMIF(visitor,S8,visitorscore)</f>
        <v>91</v>
      </c>
      <c r="X8" s="73">
        <f t="shared" ref="X8" si="24">SUMIF(home,S8,visitorscore)+SUMIF(visitor,S8,homescore)</f>
        <v>58</v>
      </c>
      <c r="Y8" s="57">
        <f t="shared" si="12"/>
        <v>33</v>
      </c>
      <c r="Z8" s="74">
        <f t="shared" si="13"/>
        <v>1.5689655172413792</v>
      </c>
      <c r="AA8" s="72">
        <f t="shared" si="14"/>
        <v>12</v>
      </c>
      <c r="AB8" s="75">
        <f t="shared" si="15"/>
        <v>1200331659.9655173</v>
      </c>
      <c r="AC8" s="56">
        <f t="shared" si="16"/>
        <v>4</v>
      </c>
    </row>
    <row r="9" spans="1:29">
      <c r="A9" s="79" t="s">
        <v>139</v>
      </c>
      <c r="H9" s="67" t="str">
        <f>_xlfn.XLOOKUP(7,$AC$3:$AC$12,$S$3:$S$12)</f>
        <v>LEN ŻYRARDÓW 16</v>
      </c>
      <c r="I9" s="67">
        <f t="shared" si="0"/>
        <v>9</v>
      </c>
      <c r="J9" s="67">
        <f t="shared" si="1"/>
        <v>3</v>
      </c>
      <c r="K9" s="67">
        <f t="shared" si="2"/>
        <v>6</v>
      </c>
      <c r="L9" s="67">
        <f t="shared" si="3"/>
        <v>61</v>
      </c>
      <c r="M9" s="67">
        <f t="shared" si="4"/>
        <v>76</v>
      </c>
      <c r="N9" s="67">
        <f t="shared" si="5"/>
        <v>-15</v>
      </c>
      <c r="O9" s="68">
        <f>IF(Tabela110111213[[#This Row],[STRACONE]]=0,0,Tabela110111213[[#This Row],[ZDOBYTE]]/Tabela110111213[[#This Row],[STRACONE]])</f>
        <v>0.80263157894736847</v>
      </c>
      <c r="P9" s="69">
        <f t="shared" si="6"/>
        <v>6</v>
      </c>
      <c r="S9" s="76" t="str">
        <f t="shared" si="7"/>
        <v>LEN ŻYRARDÓW 10</v>
      </c>
      <c r="T9" s="71">
        <f t="array" ref="T9">SUM((home=S9)*(ISNUMBER(homescore)),(visitor=S9)*(ISNUMBER(visitorscore)))</f>
        <v>9</v>
      </c>
      <c r="U9" s="57">
        <f t="array" ref="U9">SUM((home=S9)*(homescore&gt;visitorscore),(visitor=S9)*(visitorscore&gt;homescore))</f>
        <v>0</v>
      </c>
      <c r="V9" s="57">
        <f t="array" ref="V9">SUM((home=S9)*(homescore&lt;visitorscore),(visitor=S9)*(visitorscore&lt;homescore))</f>
        <v>8</v>
      </c>
      <c r="W9" s="72">
        <f t="shared" ref="W9" si="25">SUMIF(home,S9,homescore)+SUMIF(visitor,S9,visitorscore)</f>
        <v>0</v>
      </c>
      <c r="X9" s="73">
        <f t="shared" ref="X9" si="26">SUMIF(home,S9,visitorscore)+SUMIF(visitor,S9,homescore)</f>
        <v>88</v>
      </c>
      <c r="Y9" s="57">
        <f t="shared" si="12"/>
        <v>-88</v>
      </c>
      <c r="Z9" s="74">
        <f t="shared" si="13"/>
        <v>0</v>
      </c>
      <c r="AA9" s="72">
        <f t="shared" si="14"/>
        <v>0</v>
      </c>
      <c r="AB9" s="75">
        <f>W9+Z9*1000+Y9*10000+AA9*100000000+1</f>
        <v>-879999</v>
      </c>
      <c r="AC9" s="56">
        <f t="shared" si="16"/>
        <v>9</v>
      </c>
    </row>
    <row r="10" spans="1:29">
      <c r="A10" s="79" t="s">
        <v>140</v>
      </c>
      <c r="H10" s="67" t="str">
        <f>_xlfn.XLOOKUP(8,$AC$3:$AC$12,$S$3:$S$12)</f>
        <v>ORLĘTA RASZYN 11</v>
      </c>
      <c r="I10" s="67">
        <f t="shared" si="0"/>
        <v>9</v>
      </c>
      <c r="J10" s="67">
        <f t="shared" si="1"/>
        <v>3</v>
      </c>
      <c r="K10" s="67">
        <f t="shared" si="2"/>
        <v>6</v>
      </c>
      <c r="L10" s="67">
        <f t="shared" si="3"/>
        <v>60</v>
      </c>
      <c r="M10" s="67">
        <f t="shared" si="4"/>
        <v>76</v>
      </c>
      <c r="N10" s="67">
        <f t="shared" si="5"/>
        <v>-16</v>
      </c>
      <c r="O10" s="68">
        <f>IF(Tabela110111213[[#This Row],[STRACONE]]=0,0,Tabela110111213[[#This Row],[ZDOBYTE]]/Tabela110111213[[#This Row],[STRACONE]])</f>
        <v>0.78947368421052633</v>
      </c>
      <c r="P10" s="69">
        <f t="shared" si="6"/>
        <v>6</v>
      </c>
      <c r="S10" s="76" t="str">
        <f t="shared" si="7"/>
        <v>LEN ŻYRARDÓW 14</v>
      </c>
      <c r="T10" s="71">
        <f t="array" ref="T10">SUM((home=S10)*(ISNUMBER(homescore)),(visitor=S10)*(ISNUMBER(visitorscore)))</f>
        <v>9</v>
      </c>
      <c r="U10" s="57">
        <f t="array" ref="U10">SUM((home=S10)*(homescore&gt;visitorscore),(visitor=S10)*(visitorscore&gt;homescore))</f>
        <v>0</v>
      </c>
      <c r="V10" s="57">
        <f t="array" ref="V10">SUM((home=S10)*(homescore&lt;visitorscore),(visitor=S10)*(visitorscore&lt;homescore))</f>
        <v>8</v>
      </c>
      <c r="W10" s="72">
        <f t="shared" ref="W10" si="27">SUMIF(home,S10,homescore)+SUMIF(visitor,S10,visitorscore)</f>
        <v>0</v>
      </c>
      <c r="X10" s="73">
        <f t="shared" ref="X10" si="28">SUMIF(home,S10,visitorscore)+SUMIF(visitor,S10,homescore)</f>
        <v>88</v>
      </c>
      <c r="Y10" s="57">
        <f t="shared" si="12"/>
        <v>-88</v>
      </c>
      <c r="Z10" s="74">
        <f t="shared" si="13"/>
        <v>0</v>
      </c>
      <c r="AA10" s="72">
        <f t="shared" si="14"/>
        <v>0</v>
      </c>
      <c r="AB10" s="75">
        <f>W10+Z10*1000+Y10*10000+AA10*100000000</f>
        <v>-880000</v>
      </c>
      <c r="AC10" s="56">
        <f t="shared" si="16"/>
        <v>10</v>
      </c>
    </row>
    <row r="11" spans="1:29">
      <c r="A11" s="79" t="s">
        <v>141</v>
      </c>
      <c r="H11" s="67" t="str">
        <f>_xlfn.XLOOKUP(9,$AC$3:$AC$12,$S$3:$S$12)</f>
        <v>LEN ŻYRARDÓW 10</v>
      </c>
      <c r="I11" s="67">
        <f t="shared" si="0"/>
        <v>9</v>
      </c>
      <c r="J11" s="67">
        <f t="shared" si="1"/>
        <v>0</v>
      </c>
      <c r="K11" s="67">
        <f t="shared" si="2"/>
        <v>8</v>
      </c>
      <c r="L11" s="67">
        <f t="shared" si="3"/>
        <v>0</v>
      </c>
      <c r="M11" s="67">
        <f t="shared" si="4"/>
        <v>88</v>
      </c>
      <c r="N11" s="67">
        <f t="shared" si="5"/>
        <v>-88</v>
      </c>
      <c r="O11" s="68">
        <f>IF(Tabela110111213[[#This Row],[STRACONE]]=0,0,Tabela110111213[[#This Row],[ZDOBYTE]]/Tabela110111213[[#This Row],[STRACONE]])</f>
        <v>0</v>
      </c>
      <c r="P11" s="69">
        <f t="shared" si="6"/>
        <v>0</v>
      </c>
      <c r="S11" s="76" t="str">
        <f>A12</f>
        <v>LEN ŻYRARDÓW 3</v>
      </c>
      <c r="T11" s="71">
        <f t="array" ref="T11">SUM((home=S11)*(ISNUMBER(homescore)),(visitor=S11)*(ISNUMBER(visitorscore)))</f>
        <v>9</v>
      </c>
      <c r="U11" s="57">
        <f t="array" ref="U11">SUM((home=S11)*(homescore&gt;visitorscore),(visitor=S11)*(visitorscore&gt;homescore))</f>
        <v>8</v>
      </c>
      <c r="V11" s="57">
        <f t="array" ref="V11">SUM((home=S11)*(homescore&lt;visitorscore),(visitor=S11)*(visitorscore&lt;homescore))</f>
        <v>1</v>
      </c>
      <c r="W11" s="72">
        <f t="shared" ref="W11" si="29">SUMIF(home,S11,homescore)+SUMIF(visitor,S11,visitorscore)</f>
        <v>88</v>
      </c>
      <c r="X11" s="73">
        <f t="shared" ref="X11" si="30">SUMIF(home,S11,visitorscore)+SUMIF(visitor,S11,homescore)</f>
        <v>45</v>
      </c>
      <c r="Y11" s="57">
        <f t="shared" si="12"/>
        <v>43</v>
      </c>
      <c r="Z11" s="74">
        <f t="shared" si="13"/>
        <v>1.9555555555555555</v>
      </c>
      <c r="AA11" s="72">
        <f t="shared" si="14"/>
        <v>16</v>
      </c>
      <c r="AB11" s="75">
        <f>W11+Z11*1000+Y11*10000+AA11*100000000+1</f>
        <v>1600432044.5555556</v>
      </c>
      <c r="AC11" s="56">
        <f t="shared" si="16"/>
        <v>1</v>
      </c>
    </row>
    <row r="12" spans="1:29">
      <c r="A12" s="79" t="s">
        <v>142</v>
      </c>
      <c r="H12" s="67" t="str">
        <f>_xlfn.XLOOKUP(10,$AC$3:$AC$12,$S$3:$S$12)</f>
        <v>LEN ŻYRARDÓW 14</v>
      </c>
      <c r="I12" s="67">
        <f t="shared" si="0"/>
        <v>9</v>
      </c>
      <c r="J12" s="67">
        <f t="shared" si="1"/>
        <v>0</v>
      </c>
      <c r="K12" s="67">
        <f t="shared" si="2"/>
        <v>8</v>
      </c>
      <c r="L12" s="67">
        <f t="shared" si="3"/>
        <v>0</v>
      </c>
      <c r="M12" s="67">
        <f t="shared" si="4"/>
        <v>88</v>
      </c>
      <c r="N12" s="67">
        <f t="shared" si="5"/>
        <v>-88</v>
      </c>
      <c r="O12" s="68">
        <f>IF(Tabela110111213[[#This Row],[STRACONE]]=0,0,Tabela110111213[[#This Row],[ZDOBYTE]]/Tabela110111213[[#This Row],[STRACONE]])</f>
        <v>0</v>
      </c>
      <c r="P12" s="69">
        <f t="shared" si="6"/>
        <v>0</v>
      </c>
      <c r="S12" s="77" t="str">
        <f t="shared" ref="S12" si="31">A13</f>
        <v>VARSOVIA 3</v>
      </c>
      <c r="T12" s="71">
        <f t="array" ref="T12">SUM((home=S12)*(ISNUMBER(homescore)),(visitor=S12)*(ISNUMBER(visitorscore)))</f>
        <v>9</v>
      </c>
      <c r="U12" s="57">
        <f t="array" ref="U12">SUM((home=S12)*(homescore&gt;visitorscore),(visitor=S12)*(visitorscore&gt;homescore))</f>
        <v>7</v>
      </c>
      <c r="V12" s="57">
        <f t="array" ref="V12">SUM((home=S12)*(homescore&lt;visitorscore),(visitor=S12)*(visitorscore&lt;homescore))</f>
        <v>2</v>
      </c>
      <c r="W12" s="72">
        <f t="shared" ref="W12" si="32">SUMIF(home,S12,homescore)+SUMIF(visitor,S12,visitorscore)</f>
        <v>94</v>
      </c>
      <c r="X12" s="73">
        <f t="shared" ref="X12" si="33">SUMIF(home,S12,visitorscore)+SUMIF(visitor,S12,homescore)</f>
        <v>41</v>
      </c>
      <c r="Y12" s="57">
        <f>W12-X12</f>
        <v>53</v>
      </c>
      <c r="Z12" s="74">
        <f>IF(X12&gt;0,W12/X12,0)</f>
        <v>2.2926829268292681</v>
      </c>
      <c r="AA12" s="72">
        <f>2*U12</f>
        <v>14</v>
      </c>
      <c r="AB12" s="75">
        <f>W12+Z12*1000+Y12*10000+AA12*100000000</f>
        <v>1400532386.6829269</v>
      </c>
      <c r="AC12" s="56">
        <f t="shared" si="16"/>
        <v>2</v>
      </c>
    </row>
    <row r="13" spans="1:29">
      <c r="A13" s="79" t="s">
        <v>143</v>
      </c>
    </row>
    <row r="15" spans="1:29">
      <c r="H15"/>
      <c r="I15"/>
      <c r="J15"/>
      <c r="K15"/>
      <c r="L15"/>
      <c r="M15"/>
      <c r="N15"/>
      <c r="O15"/>
      <c r="P15"/>
    </row>
    <row r="16" spans="1:29">
      <c r="A16" s="65" t="s">
        <v>27</v>
      </c>
      <c r="B16" s="65" t="s">
        <v>68</v>
      </c>
      <c r="H16"/>
      <c r="I16"/>
      <c r="J16"/>
      <c r="K16"/>
      <c r="L16"/>
      <c r="M16"/>
      <c r="N16"/>
      <c r="O16"/>
      <c r="P16"/>
    </row>
    <row r="17" spans="1:29">
      <c r="A17" s="26" t="str">
        <f>A4</f>
        <v>OLIMP MIŃSK MAZ. 16</v>
      </c>
      <c r="B17" s="26" t="str">
        <f>A13</f>
        <v>VARSOVIA 3</v>
      </c>
      <c r="C17" s="67">
        <v>11</v>
      </c>
      <c r="D17" s="67" t="s">
        <v>29</v>
      </c>
      <c r="E17" s="67">
        <v>8</v>
      </c>
      <c r="H17"/>
      <c r="I17"/>
      <c r="J17"/>
      <c r="K17"/>
      <c r="L17"/>
      <c r="M17"/>
      <c r="N17"/>
      <c r="O17"/>
      <c r="P17"/>
    </row>
    <row r="18" spans="1:29">
      <c r="A18" s="26" t="str">
        <f>A5</f>
        <v>SASKA WARSZAWA 4</v>
      </c>
      <c r="B18" s="26" t="str">
        <f>A12</f>
        <v>LEN ŻYRARDÓW 3</v>
      </c>
      <c r="C18" s="67">
        <v>10</v>
      </c>
      <c r="D18" s="67" t="s">
        <v>29</v>
      </c>
      <c r="E18" s="67">
        <v>11</v>
      </c>
      <c r="F18" s="57"/>
      <c r="H18"/>
      <c r="I18"/>
      <c r="J18"/>
      <c r="K18"/>
      <c r="L18"/>
      <c r="M18"/>
      <c r="N18"/>
      <c r="O18"/>
      <c r="P18"/>
    </row>
    <row r="19" spans="1:29">
      <c r="A19" s="26" t="str">
        <f>A6</f>
        <v>ORLĘTA RASZYN 11</v>
      </c>
      <c r="B19" s="26" t="str">
        <f>A11</f>
        <v>LEN ŻYRARDÓW 14</v>
      </c>
      <c r="C19" s="67">
        <v>11</v>
      </c>
      <c r="D19" s="67" t="s">
        <v>29</v>
      </c>
      <c r="E19" s="67">
        <v>0</v>
      </c>
      <c r="F19" s="57"/>
      <c r="H19"/>
      <c r="I19"/>
      <c r="J19"/>
      <c r="K19"/>
      <c r="L19"/>
      <c r="M19"/>
      <c r="N19"/>
      <c r="O19"/>
      <c r="P19"/>
    </row>
    <row r="20" spans="1:29">
      <c r="A20" s="26" t="str">
        <f>A7</f>
        <v>LEN ŻYRARDÓW 16</v>
      </c>
      <c r="B20" s="26" t="str">
        <f>A10</f>
        <v>LEN ŻYRARDÓW 10</v>
      </c>
      <c r="C20" s="67">
        <v>11</v>
      </c>
      <c r="D20" s="67" t="s">
        <v>29</v>
      </c>
      <c r="E20" s="67">
        <v>0</v>
      </c>
      <c r="F20" s="57"/>
      <c r="H20"/>
      <c r="I20"/>
      <c r="J20"/>
      <c r="K20"/>
      <c r="L20"/>
      <c r="M20"/>
      <c r="N20"/>
      <c r="O20"/>
      <c r="P20"/>
    </row>
    <row r="21" spans="1:29">
      <c r="A21" s="26" t="str">
        <f>A8</f>
        <v>ORLĘTA RASZYN 5</v>
      </c>
      <c r="B21" s="26" t="str">
        <f>A9</f>
        <v>OLIMP TŁUSZCZ 1</v>
      </c>
      <c r="C21" s="67">
        <v>8</v>
      </c>
      <c r="D21" s="67" t="s">
        <v>29</v>
      </c>
      <c r="E21" s="67">
        <v>11</v>
      </c>
      <c r="F21" s="57"/>
      <c r="H21"/>
      <c r="I21"/>
      <c r="J21"/>
      <c r="K21"/>
      <c r="L21"/>
      <c r="M21"/>
      <c r="N21"/>
      <c r="O21"/>
      <c r="P21"/>
    </row>
    <row r="22" spans="1:29">
      <c r="A22" s="26" t="str">
        <f>A13</f>
        <v>VARSOVIA 3</v>
      </c>
      <c r="B22" s="26" t="str">
        <f>A9</f>
        <v>OLIMP TŁUSZCZ 1</v>
      </c>
      <c r="C22" s="67">
        <v>11</v>
      </c>
      <c r="D22" s="67" t="s">
        <v>29</v>
      </c>
      <c r="E22" s="67">
        <v>10</v>
      </c>
      <c r="F22" s="57"/>
      <c r="H22"/>
      <c r="I22"/>
      <c r="J22"/>
      <c r="K22"/>
      <c r="L22"/>
      <c r="M22"/>
      <c r="N22"/>
      <c r="O22"/>
      <c r="P22"/>
    </row>
    <row r="23" spans="1:29">
      <c r="A23" s="26" t="str">
        <f>A10</f>
        <v>LEN ŻYRARDÓW 10</v>
      </c>
      <c r="B23" s="26" t="str">
        <f>A8</f>
        <v>ORLĘTA RASZYN 5</v>
      </c>
      <c r="C23" s="67">
        <v>0</v>
      </c>
      <c r="D23" s="67" t="s">
        <v>29</v>
      </c>
      <c r="E23" s="67">
        <v>11</v>
      </c>
      <c r="F23" s="57" t="s">
        <v>30</v>
      </c>
      <c r="H23"/>
      <c r="I23"/>
      <c r="J23"/>
      <c r="K23"/>
      <c r="L23"/>
      <c r="M23"/>
      <c r="N23"/>
      <c r="O23"/>
      <c r="P23"/>
    </row>
    <row r="24" spans="1:29" s="57" customFormat="1">
      <c r="A24" s="26" t="str">
        <f>A11</f>
        <v>LEN ŻYRARDÓW 14</v>
      </c>
      <c r="B24" s="26" t="str">
        <f>A7</f>
        <v>LEN ŻYRARDÓW 16</v>
      </c>
      <c r="C24" s="67">
        <v>0</v>
      </c>
      <c r="D24" s="67" t="s">
        <v>29</v>
      </c>
      <c r="E24" s="67">
        <v>11</v>
      </c>
      <c r="H24"/>
      <c r="I24"/>
      <c r="J24"/>
      <c r="K24"/>
      <c r="L24"/>
      <c r="M24"/>
      <c r="N24"/>
      <c r="O24"/>
      <c r="P24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</row>
    <row r="25" spans="1:29" s="57" customFormat="1">
      <c r="A25" s="26" t="str">
        <f>A12</f>
        <v>LEN ŻYRARDÓW 3</v>
      </c>
      <c r="B25" s="26" t="str">
        <f>A6</f>
        <v>ORLĘTA RASZYN 11</v>
      </c>
      <c r="C25" s="67">
        <v>11</v>
      </c>
      <c r="D25" s="67" t="s">
        <v>29</v>
      </c>
      <c r="E25" s="67">
        <v>1</v>
      </c>
      <c r="F25" s="56"/>
      <c r="H25"/>
      <c r="I25"/>
      <c r="J25"/>
      <c r="K25"/>
      <c r="L25"/>
      <c r="M25"/>
      <c r="N25"/>
      <c r="O25"/>
      <c r="P25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</row>
    <row r="26" spans="1:29" s="57" customFormat="1">
      <c r="A26" s="26" t="str">
        <f t="shared" ref="A26:A31" si="34">A4</f>
        <v>OLIMP MIŃSK MAZ. 16</v>
      </c>
      <c r="B26" s="26" t="str">
        <f>A5</f>
        <v>SASKA WARSZAWA 4</v>
      </c>
      <c r="C26" s="67">
        <v>6</v>
      </c>
      <c r="D26" s="67" t="s">
        <v>29</v>
      </c>
      <c r="E26" s="67">
        <v>11</v>
      </c>
      <c r="F26" s="56"/>
      <c r="H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</row>
    <row r="27" spans="1:29" s="57" customFormat="1">
      <c r="A27" s="26" t="str">
        <f t="shared" si="34"/>
        <v>SASKA WARSZAWA 4</v>
      </c>
      <c r="B27" s="26" t="str">
        <f>A13</f>
        <v>VARSOVIA 3</v>
      </c>
      <c r="C27" s="67">
        <v>6</v>
      </c>
      <c r="D27" s="67" t="s">
        <v>29</v>
      </c>
      <c r="E27" s="67">
        <v>11</v>
      </c>
      <c r="F27" s="56"/>
      <c r="H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29" s="57" customFormat="1">
      <c r="A28" s="26" t="str">
        <f t="shared" si="34"/>
        <v>ORLĘTA RASZYN 11</v>
      </c>
      <c r="B28" s="26" t="str">
        <f>A4</f>
        <v>OLIMP MIŃSK MAZ. 16</v>
      </c>
      <c r="C28" s="67">
        <v>9</v>
      </c>
      <c r="D28" s="67" t="s">
        <v>29</v>
      </c>
      <c r="E28" s="67">
        <v>11</v>
      </c>
      <c r="F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1:29" s="57" customFormat="1">
      <c r="A29" s="26" t="str">
        <f t="shared" si="34"/>
        <v>LEN ŻYRARDÓW 16</v>
      </c>
      <c r="B29" s="26" t="str">
        <f>A12</f>
        <v>LEN ŻYRARDÓW 3</v>
      </c>
      <c r="C29" s="67">
        <v>5</v>
      </c>
      <c r="D29" s="67" t="s">
        <v>29</v>
      </c>
      <c r="E29" s="67">
        <v>11</v>
      </c>
      <c r="F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>
      <c r="A30" s="26" t="str">
        <f t="shared" si="34"/>
        <v>ORLĘTA RASZYN 5</v>
      </c>
      <c r="B30" s="26" t="str">
        <f>A11</f>
        <v>LEN ŻYRARDÓW 14</v>
      </c>
      <c r="C30" s="67">
        <v>11</v>
      </c>
      <c r="D30" s="67" t="s">
        <v>29</v>
      </c>
      <c r="E30" s="67">
        <v>0</v>
      </c>
    </row>
    <row r="31" spans="1:29">
      <c r="A31" s="26" t="str">
        <f t="shared" si="34"/>
        <v>OLIMP TŁUSZCZ 1</v>
      </c>
      <c r="B31" s="26" t="str">
        <f>A10</f>
        <v>LEN ŻYRARDÓW 10</v>
      </c>
      <c r="C31" s="67">
        <v>11</v>
      </c>
      <c r="D31" s="67" t="s">
        <v>29</v>
      </c>
      <c r="E31" s="67">
        <v>0</v>
      </c>
    </row>
    <row r="32" spans="1:29">
      <c r="A32" s="26" t="str">
        <f>A13</f>
        <v>VARSOVIA 3</v>
      </c>
      <c r="B32" s="26" t="str">
        <f>A10</f>
        <v>LEN ŻYRARDÓW 10</v>
      </c>
      <c r="C32" s="67">
        <v>11</v>
      </c>
      <c r="D32" s="67" t="s">
        <v>29</v>
      </c>
      <c r="E32" s="67">
        <v>0</v>
      </c>
    </row>
    <row r="33" spans="1:5">
      <c r="A33" s="26" t="str">
        <f>A12</f>
        <v>LEN ŻYRARDÓW 3</v>
      </c>
      <c r="B33" s="26" t="str">
        <f>A8</f>
        <v>ORLĘTA RASZYN 5</v>
      </c>
      <c r="C33" s="67">
        <v>0</v>
      </c>
      <c r="D33" s="67" t="s">
        <v>29</v>
      </c>
      <c r="E33" s="67">
        <v>11</v>
      </c>
    </row>
    <row r="34" spans="1:5">
      <c r="A34" s="26" t="str">
        <f>A11</f>
        <v>LEN ŻYRARDÓW 14</v>
      </c>
      <c r="B34" s="26" t="str">
        <f>A9</f>
        <v>OLIMP TŁUSZCZ 1</v>
      </c>
      <c r="C34" s="67">
        <v>0</v>
      </c>
      <c r="D34" s="67" t="s">
        <v>29</v>
      </c>
      <c r="E34" s="67">
        <v>11</v>
      </c>
    </row>
    <row r="35" spans="1:5">
      <c r="A35" s="26" t="str">
        <f t="shared" ref="A35:A41" si="35">A4</f>
        <v>OLIMP MIŃSK MAZ. 16</v>
      </c>
      <c r="B35" s="26" t="str">
        <f>A7</f>
        <v>LEN ŻYRARDÓW 16</v>
      </c>
      <c r="C35" s="67">
        <v>11</v>
      </c>
      <c r="D35" s="67" t="s">
        <v>29</v>
      </c>
      <c r="E35" s="67">
        <v>6</v>
      </c>
    </row>
    <row r="36" spans="1:5">
      <c r="A36" s="26" t="str">
        <f t="shared" si="35"/>
        <v>SASKA WARSZAWA 4</v>
      </c>
      <c r="B36" s="26" t="str">
        <f>A6</f>
        <v>ORLĘTA RASZYN 11</v>
      </c>
      <c r="C36" s="67">
        <v>11</v>
      </c>
      <c r="D36" s="67" t="s">
        <v>29</v>
      </c>
      <c r="E36" s="67">
        <v>1</v>
      </c>
    </row>
    <row r="37" spans="1:5">
      <c r="A37" s="26" t="str">
        <f t="shared" si="35"/>
        <v>ORLĘTA RASZYN 11</v>
      </c>
      <c r="B37" s="26" t="str">
        <f>A13</f>
        <v>VARSOVIA 3</v>
      </c>
      <c r="C37" s="67">
        <v>3</v>
      </c>
      <c r="D37" s="67" t="s">
        <v>29</v>
      </c>
      <c r="E37" s="67">
        <v>11</v>
      </c>
    </row>
    <row r="38" spans="1:5">
      <c r="A38" s="26" t="str">
        <f t="shared" si="35"/>
        <v>LEN ŻYRARDÓW 16</v>
      </c>
      <c r="B38" s="26" t="str">
        <f>A5</f>
        <v>SASKA WARSZAWA 4</v>
      </c>
      <c r="C38" s="67">
        <v>4</v>
      </c>
      <c r="D38" s="67" t="s">
        <v>29</v>
      </c>
      <c r="E38" s="67">
        <v>11</v>
      </c>
    </row>
    <row r="39" spans="1:5">
      <c r="A39" s="26" t="str">
        <f t="shared" si="35"/>
        <v>ORLĘTA RASZYN 5</v>
      </c>
      <c r="B39" s="26" t="str">
        <f>A4</f>
        <v>OLIMP MIŃSK MAZ. 16</v>
      </c>
      <c r="C39" s="67">
        <v>3</v>
      </c>
      <c r="D39" s="67" t="s">
        <v>29</v>
      </c>
      <c r="E39" s="67">
        <v>11</v>
      </c>
    </row>
    <row r="40" spans="1:5">
      <c r="A40" s="26" t="str">
        <f t="shared" si="35"/>
        <v>OLIMP TŁUSZCZ 1</v>
      </c>
      <c r="B40" s="26" t="str">
        <f>A12</f>
        <v>LEN ŻYRARDÓW 3</v>
      </c>
      <c r="C40" s="67">
        <v>7</v>
      </c>
      <c r="D40" s="67" t="s">
        <v>29</v>
      </c>
      <c r="E40" s="67">
        <v>11</v>
      </c>
    </row>
    <row r="41" spans="1:5">
      <c r="A41" s="26" t="str">
        <f t="shared" si="35"/>
        <v>LEN ŻYRARDÓW 10</v>
      </c>
      <c r="B41" s="26" t="str">
        <f>A11</f>
        <v>LEN ŻYRARDÓW 14</v>
      </c>
      <c r="C41" s="67">
        <v>0</v>
      </c>
      <c r="D41" s="67" t="s">
        <v>29</v>
      </c>
      <c r="E41" s="67">
        <v>0</v>
      </c>
    </row>
    <row r="42" spans="1:5">
      <c r="A42" s="26" t="str">
        <f>A13</f>
        <v>VARSOVIA 3</v>
      </c>
      <c r="B42" s="26" t="str">
        <f>A11</f>
        <v>LEN ŻYRARDÓW 14</v>
      </c>
      <c r="C42" s="67">
        <v>11</v>
      </c>
      <c r="D42" s="67" t="s">
        <v>29</v>
      </c>
      <c r="E42" s="67">
        <v>0</v>
      </c>
    </row>
    <row r="43" spans="1:5">
      <c r="A43" s="26" t="str">
        <f>A12</f>
        <v>LEN ŻYRARDÓW 3</v>
      </c>
      <c r="B43" s="26" t="str">
        <f>A10</f>
        <v>LEN ŻYRARDÓW 10</v>
      </c>
      <c r="C43" s="67">
        <v>11</v>
      </c>
      <c r="D43" s="67" t="s">
        <v>29</v>
      </c>
      <c r="E43" s="67">
        <v>0</v>
      </c>
    </row>
    <row r="44" spans="1:5">
      <c r="A44" s="26" t="str">
        <f t="shared" ref="A44:A51" si="36">A4</f>
        <v>OLIMP MIŃSK MAZ. 16</v>
      </c>
      <c r="B44" s="26" t="str">
        <f>A9</f>
        <v>OLIMP TŁUSZCZ 1</v>
      </c>
      <c r="C44" s="67">
        <v>10</v>
      </c>
      <c r="D44" s="67" t="s">
        <v>29</v>
      </c>
      <c r="E44" s="67">
        <v>11</v>
      </c>
    </row>
    <row r="45" spans="1:5">
      <c r="A45" s="26" t="str">
        <f t="shared" si="36"/>
        <v>SASKA WARSZAWA 4</v>
      </c>
      <c r="B45" s="26" t="str">
        <f>A8</f>
        <v>ORLĘTA RASZYN 5</v>
      </c>
      <c r="C45" s="67">
        <v>11</v>
      </c>
      <c r="D45" s="67" t="s">
        <v>29</v>
      </c>
      <c r="E45" s="67">
        <v>1</v>
      </c>
    </row>
    <row r="46" spans="1:5">
      <c r="A46" s="26" t="str">
        <f t="shared" si="36"/>
        <v>ORLĘTA RASZYN 11</v>
      </c>
      <c r="B46" s="26" t="str">
        <f>A7</f>
        <v>LEN ŻYRARDÓW 16</v>
      </c>
      <c r="C46" s="67">
        <v>10</v>
      </c>
      <c r="D46" s="67" t="s">
        <v>29</v>
      </c>
      <c r="E46" s="67">
        <v>11</v>
      </c>
    </row>
    <row r="47" spans="1:5">
      <c r="A47" s="26" t="str">
        <f t="shared" si="36"/>
        <v>LEN ŻYRARDÓW 16</v>
      </c>
      <c r="B47" s="26" t="str">
        <f>A13</f>
        <v>VARSOVIA 3</v>
      </c>
      <c r="C47" s="67">
        <v>0</v>
      </c>
      <c r="D47" s="67" t="s">
        <v>29</v>
      </c>
      <c r="E47" s="67">
        <v>11</v>
      </c>
    </row>
    <row r="48" spans="1:5">
      <c r="A48" s="26" t="str">
        <f t="shared" si="36"/>
        <v>ORLĘTA RASZYN 5</v>
      </c>
      <c r="B48" s="26" t="str">
        <f>A6</f>
        <v>ORLĘTA RASZYN 11</v>
      </c>
      <c r="C48" s="67">
        <v>10</v>
      </c>
      <c r="D48" s="67" t="s">
        <v>29</v>
      </c>
      <c r="E48" s="67">
        <v>11</v>
      </c>
    </row>
    <row r="49" spans="1:5">
      <c r="A49" s="26" t="str">
        <f t="shared" si="36"/>
        <v>OLIMP TŁUSZCZ 1</v>
      </c>
      <c r="B49" s="26" t="str">
        <f>A5</f>
        <v>SASKA WARSZAWA 4</v>
      </c>
      <c r="C49" s="67">
        <v>8</v>
      </c>
      <c r="D49" s="67" t="s">
        <v>29</v>
      </c>
      <c r="E49" s="67">
        <v>11</v>
      </c>
    </row>
    <row r="50" spans="1:5">
      <c r="A50" s="26" t="str">
        <f t="shared" si="36"/>
        <v>LEN ŻYRARDÓW 10</v>
      </c>
      <c r="B50" s="26" t="str">
        <f>A4</f>
        <v>OLIMP MIŃSK MAZ. 16</v>
      </c>
      <c r="C50" s="67">
        <v>0</v>
      </c>
      <c r="D50" s="67" t="s">
        <v>29</v>
      </c>
      <c r="E50" s="67">
        <v>11</v>
      </c>
    </row>
    <row r="51" spans="1:5">
      <c r="A51" s="26" t="str">
        <f t="shared" si="36"/>
        <v>LEN ŻYRARDÓW 14</v>
      </c>
      <c r="B51" s="26" t="str">
        <f>A12</f>
        <v>LEN ŻYRARDÓW 3</v>
      </c>
      <c r="C51" s="67">
        <v>0</v>
      </c>
      <c r="D51" s="67" t="s">
        <v>29</v>
      </c>
      <c r="E51" s="67">
        <v>11</v>
      </c>
    </row>
    <row r="52" spans="1:5">
      <c r="A52" s="26" t="str">
        <f>A13</f>
        <v>VARSOVIA 3</v>
      </c>
      <c r="B52" s="26" t="str">
        <f>A12</f>
        <v>LEN ŻYRARDÓW 3</v>
      </c>
      <c r="C52" s="67">
        <v>9</v>
      </c>
      <c r="D52" s="67" t="s">
        <v>29</v>
      </c>
      <c r="E52" s="67">
        <v>11</v>
      </c>
    </row>
    <row r="53" spans="1:5">
      <c r="A53" s="26" t="str">
        <f t="shared" ref="A53:A61" si="37">A4</f>
        <v>OLIMP MIŃSK MAZ. 16</v>
      </c>
      <c r="B53" s="26" t="str">
        <f>A11</f>
        <v>LEN ŻYRARDÓW 14</v>
      </c>
      <c r="C53" s="67">
        <v>11</v>
      </c>
      <c r="D53" s="67" t="s">
        <v>29</v>
      </c>
      <c r="E53" s="67">
        <v>0</v>
      </c>
    </row>
    <row r="54" spans="1:5">
      <c r="A54" s="26" t="str">
        <f t="shared" si="37"/>
        <v>SASKA WARSZAWA 4</v>
      </c>
      <c r="B54" s="26" t="str">
        <f>A10</f>
        <v>LEN ŻYRARDÓW 10</v>
      </c>
      <c r="C54" s="67">
        <v>11</v>
      </c>
      <c r="D54" s="67" t="s">
        <v>29</v>
      </c>
      <c r="E54" s="67">
        <v>0</v>
      </c>
    </row>
    <row r="55" spans="1:5">
      <c r="A55" s="26" t="str">
        <f t="shared" si="37"/>
        <v>ORLĘTA RASZYN 11</v>
      </c>
      <c r="B55" s="26" t="str">
        <f>A9</f>
        <v>OLIMP TŁUSZCZ 1</v>
      </c>
      <c r="C55" s="67">
        <v>3</v>
      </c>
      <c r="D55" s="67" t="s">
        <v>29</v>
      </c>
      <c r="E55" s="67">
        <v>11</v>
      </c>
    </row>
    <row r="56" spans="1:5">
      <c r="A56" s="26" t="str">
        <f t="shared" si="37"/>
        <v>LEN ŻYRARDÓW 16</v>
      </c>
      <c r="B56" s="26" t="str">
        <f>A8</f>
        <v>ORLĘTA RASZYN 5</v>
      </c>
      <c r="C56" s="67">
        <v>9</v>
      </c>
      <c r="D56" s="67" t="s">
        <v>29</v>
      </c>
      <c r="E56" s="67">
        <v>11</v>
      </c>
    </row>
    <row r="57" spans="1:5">
      <c r="A57" s="26" t="str">
        <f t="shared" si="37"/>
        <v>ORLĘTA RASZYN 5</v>
      </c>
      <c r="B57" s="26" t="str">
        <f>A13</f>
        <v>VARSOVIA 3</v>
      </c>
      <c r="C57" s="67">
        <v>0</v>
      </c>
      <c r="D57" s="67" t="s">
        <v>29</v>
      </c>
      <c r="E57" s="67">
        <v>11</v>
      </c>
    </row>
    <row r="58" spans="1:5">
      <c r="A58" s="26" t="str">
        <f t="shared" si="37"/>
        <v>OLIMP TŁUSZCZ 1</v>
      </c>
      <c r="B58" s="26" t="str">
        <f>A7</f>
        <v>LEN ŻYRARDÓW 16</v>
      </c>
      <c r="C58" s="67">
        <v>11</v>
      </c>
      <c r="D58" s="67" t="s">
        <v>29</v>
      </c>
      <c r="E58" s="67">
        <v>4</v>
      </c>
    </row>
    <row r="59" spans="1:5">
      <c r="A59" s="26" t="str">
        <f t="shared" si="37"/>
        <v>LEN ŻYRARDÓW 10</v>
      </c>
      <c r="B59" s="26" t="str">
        <f>A6</f>
        <v>ORLĘTA RASZYN 11</v>
      </c>
      <c r="C59" s="67">
        <v>0</v>
      </c>
      <c r="D59" s="67" t="s">
        <v>29</v>
      </c>
      <c r="E59" s="67">
        <v>11</v>
      </c>
    </row>
    <row r="60" spans="1:5">
      <c r="A60" s="26" t="str">
        <f t="shared" si="37"/>
        <v>LEN ŻYRARDÓW 14</v>
      </c>
      <c r="B60" s="26" t="str">
        <f>A5</f>
        <v>SASKA WARSZAWA 4</v>
      </c>
      <c r="C60" s="67">
        <v>0</v>
      </c>
      <c r="D60" s="67" t="s">
        <v>29</v>
      </c>
      <c r="E60" s="67">
        <v>11</v>
      </c>
    </row>
    <row r="61" spans="1:5">
      <c r="A61" s="26" t="str">
        <f t="shared" si="37"/>
        <v>LEN ŻYRARDÓW 3</v>
      </c>
      <c r="B61" s="26" t="str">
        <f>A4</f>
        <v>OLIMP MIŃSK MAZ. 16</v>
      </c>
      <c r="C61" s="67">
        <v>11</v>
      </c>
      <c r="D61" s="67" t="s">
        <v>29</v>
      </c>
      <c r="E61" s="67">
        <v>2</v>
      </c>
    </row>
  </sheetData>
  <autoFilter ref="A16:B6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boleslaw.tekielski</dc:creator>
  <cp:keywords/>
  <dc:description/>
  <cp:lastModifiedBy/>
  <cp:revision/>
  <dcterms:created xsi:type="dcterms:W3CDTF">2015-06-05T18:19:34Z</dcterms:created>
  <dcterms:modified xsi:type="dcterms:W3CDTF">2024-12-10T08:17:02Z</dcterms:modified>
  <cp:category/>
  <cp:contentStatus/>
</cp:coreProperties>
</file>